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 tabRatio="696"/>
  </bookViews>
  <sheets>
    <sheet name="День 1" sheetId="2" r:id="rId1"/>
    <sheet name="День 2" sheetId="4" r:id="rId2"/>
    <sheet name="День 3" sheetId="5" r:id="rId3"/>
    <sheet name="День 4" sheetId="6" r:id="rId4"/>
    <sheet name="День 5" sheetId="8" r:id="rId5"/>
    <sheet name="День 6" sheetId="9" r:id="rId6"/>
    <sheet name="День 7" sheetId="10" r:id="rId7"/>
    <sheet name="День 8" sheetId="11" r:id="rId8"/>
    <sheet name="День 9" sheetId="12" r:id="rId9"/>
    <sheet name="День 10" sheetId="13" r:id="rId10"/>
    <sheet name="День 11" sheetId="14" r:id="rId11"/>
    <sheet name="День 12" sheetId="15" r:id="rId12"/>
    <sheet name="Лист1" sheetId="16" r:id="rId13"/>
  </sheets>
  <definedNames>
    <definedName name="_xlnm.Print_Area" localSheetId="0">'День 1'!$A$1:$G$24</definedName>
    <definedName name="_xlnm.Print_Area" localSheetId="9">'День 10'!$A$1:$H$25</definedName>
    <definedName name="_xlnm.Print_Area" localSheetId="10">'День 11'!$A$1:$J$25</definedName>
    <definedName name="_xlnm.Print_Area" localSheetId="11">'День 12'!$A$1:$I$21</definedName>
    <definedName name="_xlnm.Print_Area" localSheetId="1">'День 2'!$A$1:$H$24</definedName>
    <definedName name="_xlnm.Print_Area" localSheetId="3">'День 4'!$A$1:$H$25</definedName>
    <definedName name="_xlnm.Print_Area" localSheetId="4">'День 5'!$A$1:$G$27</definedName>
    <definedName name="_xlnm.Print_Area" localSheetId="5">'День 6'!$A$1:$J$24</definedName>
    <definedName name="_xlnm.Print_Area" localSheetId="6">'День 7'!$A$1:$H$25</definedName>
    <definedName name="_xlnm.Print_Area" localSheetId="7">'День 8'!$A$1:$H$20</definedName>
    <definedName name="_xlnm.Print_Area" localSheetId="8">'День 9'!$A$1:$H$24</definedName>
  </definedNames>
  <calcPr calcId="145621"/>
</workbook>
</file>

<file path=xl/calcChain.xml><?xml version="1.0" encoding="utf-8"?>
<calcChain xmlns="http://schemas.openxmlformats.org/spreadsheetml/2006/main">
  <c r="B5" i="16" l="1"/>
  <c r="G12" i="15"/>
  <c r="G14" i="15"/>
  <c r="F14" i="15"/>
  <c r="E14" i="15"/>
  <c r="D14" i="15"/>
  <c r="D12" i="15"/>
  <c r="F12" i="15"/>
  <c r="E12" i="15"/>
  <c r="G13" i="15"/>
  <c r="F13" i="15"/>
  <c r="E13" i="15"/>
  <c r="D13" i="15"/>
  <c r="G15" i="5"/>
  <c r="G7" i="15" l="1"/>
  <c r="F7" i="15"/>
  <c r="E7" i="15"/>
  <c r="D7" i="15"/>
  <c r="G6" i="15"/>
  <c r="F6" i="15"/>
  <c r="E6" i="15"/>
  <c r="D6" i="15"/>
  <c r="E16" i="14"/>
  <c r="G19" i="14"/>
  <c r="F13" i="14"/>
  <c r="D13" i="14"/>
  <c r="E13" i="14"/>
  <c r="E19" i="14" s="1"/>
  <c r="E21" i="14" s="1"/>
  <c r="G18" i="14"/>
  <c r="F18" i="14"/>
  <c r="E18" i="14"/>
  <c r="D18" i="14"/>
  <c r="F15" i="14"/>
  <c r="E15" i="14"/>
  <c r="D15" i="14"/>
  <c r="D16" i="14"/>
  <c r="F16" i="14"/>
  <c r="G16" i="14"/>
  <c r="D17" i="14"/>
  <c r="G17" i="14" s="1"/>
  <c r="E17" i="14"/>
  <c r="F17" i="14"/>
  <c r="C19" i="14"/>
  <c r="F14" i="14"/>
  <c r="G14" i="14" s="1"/>
  <c r="E14" i="14"/>
  <c r="D14" i="14"/>
  <c r="G7" i="14"/>
  <c r="F7" i="14"/>
  <c r="E7" i="14"/>
  <c r="D7" i="14"/>
  <c r="G6" i="14"/>
  <c r="F6" i="14"/>
  <c r="E6" i="14"/>
  <c r="D6" i="14"/>
  <c r="G9" i="14"/>
  <c r="F9" i="14"/>
  <c r="E9" i="14"/>
  <c r="D9" i="14"/>
  <c r="G15" i="13"/>
  <c r="F14" i="13"/>
  <c r="G14" i="13"/>
  <c r="F15" i="13"/>
  <c r="E15" i="13"/>
  <c r="D15" i="13"/>
  <c r="F6" i="13"/>
  <c r="F10" i="13"/>
  <c r="G10" i="13"/>
  <c r="G6" i="13"/>
  <c r="E6" i="13"/>
  <c r="D6" i="13"/>
  <c r="G8" i="13"/>
  <c r="F8" i="13"/>
  <c r="E8" i="13"/>
  <c r="D8" i="13"/>
  <c r="G7" i="13"/>
  <c r="F7" i="13"/>
  <c r="E7" i="13"/>
  <c r="D7" i="13"/>
  <c r="F19" i="14" l="1"/>
  <c r="F21" i="14" s="1"/>
  <c r="D19" i="14"/>
  <c r="D21" i="14" s="1"/>
  <c r="G20" i="13"/>
  <c r="G15" i="12" l="1"/>
  <c r="F15" i="12"/>
  <c r="G14" i="12"/>
  <c r="F14" i="12"/>
  <c r="E14" i="12"/>
  <c r="D14" i="12"/>
  <c r="G6" i="2"/>
  <c r="F6" i="2"/>
  <c r="E6" i="2"/>
  <c r="D6" i="2"/>
  <c r="G6" i="12"/>
  <c r="F6" i="12"/>
  <c r="D8" i="12"/>
  <c r="D11" i="12" s="1"/>
  <c r="G6" i="9"/>
  <c r="E6" i="9"/>
  <c r="D6" i="9"/>
  <c r="F9" i="9"/>
  <c r="G9" i="9" s="1"/>
  <c r="E9" i="9"/>
  <c r="D9" i="9"/>
  <c r="E6" i="12"/>
  <c r="D6" i="12"/>
  <c r="E8" i="12"/>
  <c r="F8" i="12"/>
  <c r="G7" i="12"/>
  <c r="F7" i="12"/>
  <c r="E7" i="12"/>
  <c r="D7" i="12"/>
  <c r="G14" i="11"/>
  <c r="F14" i="11"/>
  <c r="F18" i="11"/>
  <c r="E14" i="11"/>
  <c r="D14" i="11"/>
  <c r="D18" i="11" s="1"/>
  <c r="D15" i="11"/>
  <c r="E15" i="11"/>
  <c r="F15" i="11"/>
  <c r="G15" i="11" s="1"/>
  <c r="D16" i="11"/>
  <c r="E16" i="11"/>
  <c r="F16" i="11"/>
  <c r="G16" i="11" s="1"/>
  <c r="D17" i="11"/>
  <c r="E17" i="11"/>
  <c r="F17" i="11"/>
  <c r="G17" i="11" s="1"/>
  <c r="C18" i="11"/>
  <c r="D12" i="11"/>
  <c r="F12" i="11"/>
  <c r="G12" i="11"/>
  <c r="G6" i="11"/>
  <c r="G8" i="11"/>
  <c r="F8" i="11"/>
  <c r="E8" i="11"/>
  <c r="D8" i="11"/>
  <c r="F6" i="11"/>
  <c r="D6" i="11"/>
  <c r="E6" i="11"/>
  <c r="G15" i="10"/>
  <c r="E15" i="10"/>
  <c r="F15" i="10"/>
  <c r="D15" i="10"/>
  <c r="G14" i="10"/>
  <c r="F14" i="10"/>
  <c r="D8" i="10"/>
  <c r="F16" i="10"/>
  <c r="E16" i="10"/>
  <c r="D16" i="10"/>
  <c r="G8" i="12" l="1"/>
  <c r="G18" i="11"/>
  <c r="E18" i="11"/>
  <c r="G16" i="10"/>
  <c r="F8" i="10" l="1"/>
  <c r="E8" i="10"/>
  <c r="G8" i="10"/>
  <c r="G7" i="10" l="1"/>
  <c r="F7" i="10"/>
  <c r="E7" i="10"/>
  <c r="D7" i="10"/>
  <c r="G15" i="9" l="1"/>
  <c r="F17" i="9"/>
  <c r="F12" i="9"/>
  <c r="F15" i="9"/>
  <c r="F13" i="9"/>
  <c r="D13" i="9"/>
  <c r="G7" i="9" l="1"/>
  <c r="F6" i="9"/>
  <c r="G8" i="9"/>
  <c r="F8" i="9"/>
  <c r="E8" i="9"/>
  <c r="D8" i="9"/>
  <c r="F15" i="8"/>
  <c r="E15" i="8"/>
  <c r="D15" i="8"/>
  <c r="G8" i="8"/>
  <c r="G12" i="8"/>
  <c r="G7" i="8"/>
  <c r="E8" i="8"/>
  <c r="F7" i="8"/>
  <c r="E7" i="8"/>
  <c r="D7" i="8"/>
  <c r="G13" i="9"/>
  <c r="E13" i="9"/>
  <c r="E15" i="9"/>
  <c r="D15" i="9"/>
  <c r="D16" i="8"/>
  <c r="G17" i="8"/>
  <c r="F17" i="8"/>
  <c r="E17" i="8"/>
  <c r="D17" i="8"/>
  <c r="G16" i="8"/>
  <c r="F16" i="8"/>
  <c r="E16" i="8"/>
  <c r="C21" i="8"/>
  <c r="D8" i="8"/>
  <c r="G14" i="8"/>
  <c r="F14" i="8"/>
  <c r="E14" i="8"/>
  <c r="D14" i="8"/>
  <c r="G9" i="8"/>
  <c r="F9" i="8"/>
  <c r="E9" i="8"/>
  <c r="D9" i="8"/>
  <c r="F13" i="6"/>
  <c r="F15" i="6"/>
  <c r="E15" i="6"/>
  <c r="E13" i="6"/>
  <c r="D13" i="6"/>
  <c r="G8" i="6"/>
  <c r="F8" i="6"/>
  <c r="E8" i="6"/>
  <c r="D8" i="6"/>
  <c r="G7" i="6"/>
  <c r="F7" i="6"/>
  <c r="E7" i="6"/>
  <c r="D7" i="6"/>
  <c r="G6" i="6"/>
  <c r="F6" i="6"/>
  <c r="E6" i="6"/>
  <c r="D6" i="6"/>
  <c r="F15" i="5"/>
  <c r="E15" i="5"/>
  <c r="D15" i="5"/>
  <c r="G8" i="5"/>
  <c r="G15" i="4"/>
  <c r="F15" i="4"/>
  <c r="E15" i="4"/>
  <c r="D15" i="4"/>
  <c r="D12" i="4"/>
  <c r="G14" i="4"/>
  <c r="F14" i="4"/>
  <c r="E14" i="4"/>
  <c r="D14" i="4"/>
  <c r="F6" i="4"/>
  <c r="F7" i="4"/>
  <c r="D6" i="4"/>
  <c r="G8" i="4"/>
  <c r="F8" i="4"/>
  <c r="E8" i="4"/>
  <c r="D8" i="4"/>
  <c r="G15" i="2"/>
  <c r="F15" i="2"/>
  <c r="E15" i="2"/>
  <c r="G13" i="6" l="1"/>
  <c r="F10" i="12" l="1"/>
  <c r="E10" i="12"/>
  <c r="D10" i="12"/>
  <c r="G17" i="15"/>
  <c r="F17" i="15"/>
  <c r="E17" i="15"/>
  <c r="D17" i="15"/>
  <c r="E14" i="13"/>
  <c r="D14" i="13"/>
  <c r="F13" i="13"/>
  <c r="E13" i="13"/>
  <c r="D13" i="13"/>
  <c r="E10" i="13"/>
  <c r="D10" i="13"/>
  <c r="G19" i="12"/>
  <c r="F19" i="12"/>
  <c r="E19" i="12"/>
  <c r="D19" i="12"/>
  <c r="E15" i="12"/>
  <c r="D15" i="12"/>
  <c r="G9" i="11"/>
  <c r="F9" i="11"/>
  <c r="E9" i="11"/>
  <c r="D9" i="11"/>
  <c r="G7" i="11"/>
  <c r="F7" i="11"/>
  <c r="E7" i="11"/>
  <c r="D7" i="11"/>
  <c r="G18" i="10"/>
  <c r="F18" i="10"/>
  <c r="E18" i="10"/>
  <c r="D18" i="10"/>
  <c r="G17" i="9"/>
  <c r="E17" i="9"/>
  <c r="D17" i="9"/>
  <c r="G12" i="9"/>
  <c r="E12" i="9"/>
  <c r="D12" i="9"/>
  <c r="D7" i="9"/>
  <c r="E7" i="9"/>
  <c r="F7" i="9"/>
  <c r="F20" i="8"/>
  <c r="E20" i="8"/>
  <c r="D20" i="8"/>
  <c r="F8" i="8"/>
  <c r="G18" i="6"/>
  <c r="F18" i="6"/>
  <c r="E18" i="6"/>
  <c r="D18" i="6"/>
  <c r="F10" i="5"/>
  <c r="E10" i="5"/>
  <c r="D10" i="5"/>
  <c r="F18" i="4"/>
  <c r="E18" i="4"/>
  <c r="D18" i="4"/>
  <c r="G6" i="4"/>
  <c r="E6" i="4"/>
  <c r="G20" i="8" l="1"/>
  <c r="G10" i="12"/>
  <c r="G19" i="2"/>
  <c r="F19" i="2"/>
  <c r="E19" i="2"/>
  <c r="D19" i="2"/>
  <c r="F18" i="2"/>
  <c r="G14" i="2"/>
  <c r="F14" i="2"/>
  <c r="E14" i="2"/>
  <c r="D14" i="2"/>
  <c r="G8" i="2"/>
  <c r="F8" i="2"/>
  <c r="E8" i="2"/>
  <c r="D8" i="2"/>
  <c r="G7" i="2"/>
  <c r="F7" i="2"/>
  <c r="E7" i="2"/>
  <c r="D7" i="2"/>
  <c r="C19" i="6" l="1"/>
  <c r="D14" i="6"/>
  <c r="E14" i="6"/>
  <c r="F14" i="6"/>
  <c r="D15" i="6"/>
  <c r="F18" i="8"/>
  <c r="E18" i="8"/>
  <c r="D18" i="8"/>
  <c r="D15" i="2"/>
  <c r="G15" i="6" l="1"/>
  <c r="G18" i="8"/>
  <c r="G14" i="6"/>
  <c r="F8" i="5"/>
  <c r="E8" i="5"/>
  <c r="D8" i="5"/>
  <c r="G8" i="15"/>
  <c r="F8" i="15"/>
  <c r="F10" i="15" s="1"/>
  <c r="E8" i="15"/>
  <c r="D8" i="15"/>
  <c r="G13" i="5" l="1"/>
  <c r="F13" i="5"/>
  <c r="E13" i="5"/>
  <c r="D13" i="5"/>
  <c r="G7" i="5"/>
  <c r="F7" i="5"/>
  <c r="E7" i="5"/>
  <c r="D7" i="5"/>
  <c r="C18" i="15"/>
  <c r="F14" i="9"/>
  <c r="E14" i="9"/>
  <c r="D14" i="9"/>
  <c r="E14" i="10"/>
  <c r="D14" i="10"/>
  <c r="C12" i="8"/>
  <c r="F9" i="6"/>
  <c r="E9" i="6"/>
  <c r="D9" i="6"/>
  <c r="G7" i="4"/>
  <c r="E7" i="4"/>
  <c r="D7" i="4"/>
  <c r="G14" i="9" l="1"/>
  <c r="G9" i="6"/>
  <c r="C10" i="9" l="1"/>
  <c r="C11" i="14"/>
  <c r="G21" i="14" l="1"/>
  <c r="F9" i="5" l="1"/>
  <c r="E9" i="5"/>
  <c r="D9" i="5"/>
  <c r="F9" i="2"/>
  <c r="E9" i="2"/>
  <c r="D9" i="2"/>
  <c r="G9" i="2" l="1"/>
  <c r="G9" i="5"/>
  <c r="C20" i="2"/>
  <c r="F8" i="14"/>
  <c r="E8" i="14"/>
  <c r="D8" i="14"/>
  <c r="F9" i="13"/>
  <c r="E9" i="13"/>
  <c r="D9" i="13"/>
  <c r="D11" i="13" s="1"/>
  <c r="C20" i="13"/>
  <c r="C11" i="13"/>
  <c r="C20" i="12"/>
  <c r="F9" i="12"/>
  <c r="E9" i="12"/>
  <c r="D9" i="12"/>
  <c r="C11" i="12"/>
  <c r="G9" i="13" l="1"/>
  <c r="G11" i="13" s="1"/>
  <c r="G9" i="12"/>
  <c r="G8" i="14"/>
  <c r="C10" i="11" l="1"/>
  <c r="F9" i="10"/>
  <c r="E9" i="10"/>
  <c r="E11" i="10" s="1"/>
  <c r="D9" i="10"/>
  <c r="C19" i="10"/>
  <c r="C11" i="10"/>
  <c r="C18" i="9"/>
  <c r="F17" i="4"/>
  <c r="E17" i="4"/>
  <c r="D17" i="4"/>
  <c r="F16" i="4"/>
  <c r="E16" i="4"/>
  <c r="D16" i="4"/>
  <c r="D16" i="15"/>
  <c r="E16" i="15"/>
  <c r="F16" i="15"/>
  <c r="F15" i="15"/>
  <c r="E15" i="15"/>
  <c r="D15" i="15"/>
  <c r="F10" i="8"/>
  <c r="F12" i="8" s="1"/>
  <c r="E10" i="8"/>
  <c r="E12" i="8" s="1"/>
  <c r="D10" i="8"/>
  <c r="D12" i="8" s="1"/>
  <c r="C11" i="6"/>
  <c r="C19" i="5"/>
  <c r="C11" i="5"/>
  <c r="C19" i="4"/>
  <c r="C10" i="4"/>
  <c r="C11" i="2"/>
  <c r="C10" i="15"/>
  <c r="G17" i="4" l="1"/>
  <c r="G16" i="4"/>
  <c r="G15" i="15"/>
  <c r="F18" i="15"/>
  <c r="D18" i="15"/>
  <c r="G16" i="15"/>
  <c r="E18" i="15"/>
  <c r="G9" i="10"/>
  <c r="G10" i="8"/>
  <c r="G18" i="15" l="1"/>
  <c r="F19" i="8"/>
  <c r="F21" i="8" s="1"/>
  <c r="E19" i="8"/>
  <c r="E21" i="8" s="1"/>
  <c r="D19" i="8"/>
  <c r="D21" i="8" s="1"/>
  <c r="F16" i="9"/>
  <c r="E16" i="9"/>
  <c r="D16" i="9"/>
  <c r="F10" i="9"/>
  <c r="E10" i="9"/>
  <c r="D10" i="9"/>
  <c r="F16" i="13"/>
  <c r="E16" i="13"/>
  <c r="D16" i="13"/>
  <c r="F17" i="6"/>
  <c r="E17" i="6"/>
  <c r="D17" i="6"/>
  <c r="F16" i="6"/>
  <c r="E16" i="6"/>
  <c r="D16" i="6"/>
  <c r="F11" i="6"/>
  <c r="E11" i="6"/>
  <c r="D11" i="6"/>
  <c r="F17" i="5"/>
  <c r="E17" i="5"/>
  <c r="D17" i="5"/>
  <c r="F16" i="5"/>
  <c r="F19" i="5" s="1"/>
  <c r="E16" i="5"/>
  <c r="D16" i="5"/>
  <c r="D19" i="5" s="1"/>
  <c r="G10" i="5"/>
  <c r="F11" i="14"/>
  <c r="E11" i="14"/>
  <c r="D11" i="14"/>
  <c r="F11" i="12"/>
  <c r="E11" i="12"/>
  <c r="D10" i="15"/>
  <c r="F18" i="13"/>
  <c r="E18" i="13"/>
  <c r="D18" i="13"/>
  <c r="F17" i="13"/>
  <c r="E17" i="13"/>
  <c r="D17" i="13"/>
  <c r="F11" i="13"/>
  <c r="F18" i="12"/>
  <c r="E18" i="12"/>
  <c r="D18" i="12"/>
  <c r="F17" i="12"/>
  <c r="E17" i="12"/>
  <c r="D17" i="12"/>
  <c r="F10" i="11"/>
  <c r="E10" i="11"/>
  <c r="D10" i="11"/>
  <c r="F17" i="10"/>
  <c r="E17" i="10"/>
  <c r="D17" i="10"/>
  <c r="D11" i="10"/>
  <c r="F11" i="10"/>
  <c r="F16" i="2"/>
  <c r="E16" i="2"/>
  <c r="D16" i="2"/>
  <c r="F12" i="4"/>
  <c r="E12" i="4"/>
  <c r="G18" i="4"/>
  <c r="E18" i="2"/>
  <c r="D18" i="2"/>
  <c r="F17" i="2"/>
  <c r="E17" i="2"/>
  <c r="D17" i="2"/>
  <c r="F11" i="2"/>
  <c r="D11" i="2"/>
  <c r="E19" i="6" l="1"/>
  <c r="E21" i="6" s="1"/>
  <c r="E20" i="13"/>
  <c r="D19" i="6"/>
  <c r="D21" i="6" s="1"/>
  <c r="G18" i="2"/>
  <c r="D20" i="2"/>
  <c r="D22" i="2" s="1"/>
  <c r="F19" i="6"/>
  <c r="F21" i="6" s="1"/>
  <c r="E20" i="11"/>
  <c r="E20" i="12"/>
  <c r="E22" i="12" s="1"/>
  <c r="F20" i="12"/>
  <c r="F22" i="12" s="1"/>
  <c r="D20" i="12"/>
  <c r="E19" i="5"/>
  <c r="D20" i="11"/>
  <c r="E19" i="10"/>
  <c r="E23" i="8"/>
  <c r="G12" i="4"/>
  <c r="G19" i="4" s="1"/>
  <c r="F20" i="15"/>
  <c r="G11" i="10"/>
  <c r="D20" i="15"/>
  <c r="G19" i="8"/>
  <c r="G21" i="8" s="1"/>
  <c r="G16" i="6"/>
  <c r="G17" i="6"/>
  <c r="E11" i="5"/>
  <c r="E10" i="15"/>
  <c r="G11" i="14"/>
  <c r="F20" i="11"/>
  <c r="G17" i="10"/>
  <c r="D10" i="4"/>
  <c r="D18" i="9"/>
  <c r="D20" i="9" s="1"/>
  <c r="F18" i="9"/>
  <c r="F20" i="9" s="1"/>
  <c r="G16" i="13"/>
  <c r="D23" i="8"/>
  <c r="E18" i="9"/>
  <c r="E20" i="9" s="1"/>
  <c r="G16" i="9"/>
  <c r="F23" i="8"/>
  <c r="D11" i="5"/>
  <c r="F11" i="5"/>
  <c r="G17" i="5"/>
  <c r="G16" i="5"/>
  <c r="G11" i="6"/>
  <c r="F10" i="4"/>
  <c r="E11" i="2"/>
  <c r="E20" i="2"/>
  <c r="G16" i="2"/>
  <c r="D19" i="4"/>
  <c r="E19" i="4"/>
  <c r="E10" i="4"/>
  <c r="F20" i="2"/>
  <c r="F22" i="2" s="1"/>
  <c r="G17" i="2"/>
  <c r="G17" i="13"/>
  <c r="G18" i="13"/>
  <c r="E11" i="13"/>
  <c r="D20" i="13"/>
  <c r="D22" i="13" s="1"/>
  <c r="G17" i="12"/>
  <c r="G18" i="12"/>
  <c r="G10" i="15"/>
  <c r="F20" i="13"/>
  <c r="F22" i="13" s="1"/>
  <c r="G11" i="12"/>
  <c r="D19" i="10"/>
  <c r="D21" i="10" s="1"/>
  <c r="G10" i="11"/>
  <c r="F19" i="10"/>
  <c r="F21" i="10" s="1"/>
  <c r="F19" i="4"/>
  <c r="E22" i="13" l="1"/>
  <c r="G19" i="6"/>
  <c r="G21" i="6" s="1"/>
  <c r="D21" i="4"/>
  <c r="G20" i="2"/>
  <c r="G20" i="12"/>
  <c r="G22" i="12" s="1"/>
  <c r="E21" i="10"/>
  <c r="E21" i="5"/>
  <c r="E22" i="2"/>
  <c r="G19" i="5"/>
  <c r="D21" i="5"/>
  <c r="F21" i="5"/>
  <c r="G20" i="11"/>
  <c r="G23" i="8"/>
  <c r="G19" i="10"/>
  <c r="G21" i="10" s="1"/>
  <c r="G18" i="9"/>
  <c r="E20" i="15"/>
  <c r="D22" i="12"/>
  <c r="F21" i="4"/>
  <c r="G22" i="13"/>
  <c r="E21" i="4"/>
  <c r="G10" i="9"/>
  <c r="G11" i="5"/>
  <c r="G10" i="4"/>
  <c r="G20" i="15"/>
  <c r="G11" i="2"/>
  <c r="C4" i="16" l="1"/>
  <c r="A4" i="16"/>
  <c r="G22" i="2"/>
  <c r="B4" i="16"/>
  <c r="G20" i="9"/>
  <c r="G21" i="5"/>
  <c r="G21" i="4"/>
  <c r="A5" i="16" l="1"/>
  <c r="D4" i="16"/>
</calcChain>
</file>

<file path=xl/sharedStrings.xml><?xml version="1.0" encoding="utf-8"?>
<sst xmlns="http://schemas.openxmlformats.org/spreadsheetml/2006/main" count="426" uniqueCount="111">
  <si>
    <t>№ рец.</t>
  </si>
  <si>
    <t>Наименование блюда</t>
  </si>
  <si>
    <t>Масса порции</t>
  </si>
  <si>
    <t>Белки</t>
  </si>
  <si>
    <t>Жиры</t>
  </si>
  <si>
    <t>Углеводы</t>
  </si>
  <si>
    <t>Пищевые вещества (г)</t>
  </si>
  <si>
    <t>Хлеб пшеничный</t>
  </si>
  <si>
    <t xml:space="preserve"> </t>
  </si>
  <si>
    <t>ЗАВТРАК</t>
  </si>
  <si>
    <t>ОБЕД</t>
  </si>
  <si>
    <t>39/2008г</t>
  </si>
  <si>
    <t>Картофельное пюре</t>
  </si>
  <si>
    <t>92/2008г</t>
  </si>
  <si>
    <t>Хлеб ржано-пшеничный</t>
  </si>
  <si>
    <t>Компот из сухофруктов</t>
  </si>
  <si>
    <t>Фрукт свежий (яблоко)</t>
  </si>
  <si>
    <t>Кофейный напиток с молоком</t>
  </si>
  <si>
    <t>148/2008г</t>
  </si>
  <si>
    <t>ИТОГО ЗА ДЕНЬ:</t>
  </si>
  <si>
    <t>ИТОГО ЗА ЗАВТРАК:</t>
  </si>
  <si>
    <t>ИТОГО ЗА ОБЕД:</t>
  </si>
  <si>
    <t>Огурцы свежие порционно</t>
  </si>
  <si>
    <t>Суп картофельный с бобовыми</t>
  </si>
  <si>
    <t>47/2008г</t>
  </si>
  <si>
    <t>Соус томатный</t>
  </si>
  <si>
    <t>Чай с лимоном</t>
  </si>
  <si>
    <t>146/2008г</t>
  </si>
  <si>
    <t>Фрукт свежий (банан)</t>
  </si>
  <si>
    <t>Какао с молоком</t>
  </si>
  <si>
    <t xml:space="preserve"> Чай с сахаром</t>
  </si>
  <si>
    <t>149/2008г</t>
  </si>
  <si>
    <t>153/2008г</t>
  </si>
  <si>
    <t>Каша пшеничная молочная жидкая</t>
  </si>
  <si>
    <t>128/2008г</t>
  </si>
  <si>
    <t>Помидоры свежие порционно</t>
  </si>
  <si>
    <t>60/2013г</t>
  </si>
  <si>
    <t>Фрукт свежий (груша)</t>
  </si>
  <si>
    <t>Бутерброд с сыром</t>
  </si>
  <si>
    <t>Щи из свежей капусты с картофелем</t>
  </si>
  <si>
    <t>41/2008г</t>
  </si>
  <si>
    <t>Макаронные изделия отварные</t>
  </si>
  <si>
    <t>97/2008г</t>
  </si>
  <si>
    <t>Фрукт свежий (апельсин)</t>
  </si>
  <si>
    <t>141/2008г</t>
  </si>
  <si>
    <t>261/2013г</t>
  </si>
  <si>
    <t>Каша пшённая молочная жидкая</t>
  </si>
  <si>
    <t>Шницель из говядины</t>
  </si>
  <si>
    <t>Зразы из говядины с яйцом</t>
  </si>
  <si>
    <t>Винегрет</t>
  </si>
  <si>
    <t>30/2008г</t>
  </si>
  <si>
    <t>Напиток из подов шиповника</t>
  </si>
  <si>
    <t>267/2013г</t>
  </si>
  <si>
    <t>127/2008г</t>
  </si>
  <si>
    <t>1/2013г</t>
  </si>
  <si>
    <t>Бутерброд с маслом сливочным</t>
  </si>
  <si>
    <t>День: вторник.</t>
  </si>
  <si>
    <t>День: понедельник.</t>
  </si>
  <si>
    <t>День: среда.</t>
  </si>
  <si>
    <t>День: четверг.</t>
  </si>
  <si>
    <t>День: пятница.</t>
  </si>
  <si>
    <t>День: суббота.</t>
  </si>
  <si>
    <t>65/2013г</t>
  </si>
  <si>
    <t>ПР</t>
  </si>
  <si>
    <t xml:space="preserve">104/2017 </t>
  </si>
  <si>
    <t>Суп с мясными фрикадельками</t>
  </si>
  <si>
    <t>39/2017</t>
  </si>
  <si>
    <t>Жаркое по домашнему из говядины</t>
  </si>
  <si>
    <t>Запеканка картофельная с отварным мясом (говядина)</t>
  </si>
  <si>
    <t>Молоко сгущенное с сахаром</t>
  </si>
  <si>
    <t>Йогурт</t>
  </si>
  <si>
    <t>Салат картофельный с кукурузой , морковью и огурцами</t>
  </si>
  <si>
    <t>Энергет. Ценность</t>
  </si>
  <si>
    <t>Среднее соотношение за 12 дней</t>
  </si>
  <si>
    <t>Сырники творожные запеченные</t>
  </si>
  <si>
    <t>Энергет Ценность</t>
  </si>
  <si>
    <t>Сок  фруктовый</t>
  </si>
  <si>
    <t>342/2017</t>
  </si>
  <si>
    <t>Компот из свежих яблок</t>
  </si>
  <si>
    <t>ттк</t>
  </si>
  <si>
    <t>Гуляш из мяса кур</t>
  </si>
  <si>
    <t>пп</t>
  </si>
  <si>
    <t xml:space="preserve">Манник с творогом </t>
  </si>
  <si>
    <t>ПП</t>
  </si>
  <si>
    <t>54-6з-2020</t>
  </si>
  <si>
    <t>Плов из говядины</t>
  </si>
  <si>
    <t>Каша пшенная без молока</t>
  </si>
  <si>
    <t>Котлета,рубленная из мяса кур</t>
  </si>
  <si>
    <t>Салат из белокочанной капусты с помидорами и огурцами</t>
  </si>
  <si>
    <t>Биточки из говядины</t>
  </si>
  <si>
    <t>54-6м-2020 (11 лет и старше)</t>
  </si>
  <si>
    <t xml:space="preserve">Рассольник ленинградский </t>
  </si>
  <si>
    <t>вафли</t>
  </si>
  <si>
    <t>304-2017</t>
  </si>
  <si>
    <t>Рис отварной</t>
  </si>
  <si>
    <t>конфеты</t>
  </si>
  <si>
    <t>Возрастная категория: 7-10 лет</t>
  </si>
  <si>
    <t>Возрастная категория: 7-10 лет.</t>
  </si>
  <si>
    <t>Борщ с капустой и картофелем с мясом со сметаной</t>
  </si>
  <si>
    <t>Гуляш</t>
  </si>
  <si>
    <t>Суп молочный с макаронными изделиями</t>
  </si>
  <si>
    <t>Пицца детская</t>
  </si>
  <si>
    <t>Рыба по польски</t>
  </si>
  <si>
    <t xml:space="preserve">Каша рисовая  вязкая </t>
  </si>
  <si>
    <t xml:space="preserve">Суп "Снежок"с мясом птицы </t>
  </si>
  <si>
    <t>Омлет натуральный с маслом</t>
  </si>
  <si>
    <t>Каша вязкая ячневая с маслом</t>
  </si>
  <si>
    <t xml:space="preserve">Суп картофельный с клёцками </t>
  </si>
  <si>
    <t xml:space="preserve">Суп картофельный с макаронными изделиями </t>
  </si>
  <si>
    <t>Каша рисовая вязкая с маслом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</si>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</sst>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color rgb="FF000000"/>
      <name val="Arial Cyr"/>
    </font>
    <font>
      <sz val="10"/>
      <color rgb="FF008000"/>
      <name val="Arial Cy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4" fillId="0" borderId="0"/>
    <xf numFmtId="49" fontId="16" fillId="0" borderId="1">
      <alignment vertical="top" wrapText="1"/>
    </xf>
    <xf numFmtId="49" fontId="16" fillId="0" borderId="1">
      <alignment vertical="top"/>
    </xf>
    <xf numFmtId="4" fontId="17" fillId="0" borderId="1">
      <alignment vertical="top" shrinkToFit="1"/>
    </xf>
  </cellStyleXfs>
  <cellXfs count="24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6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9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2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2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7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7" fillId="2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/>
    <xf numFmtId="0" fontId="13" fillId="0" borderId="1" xfId="0" applyFont="1" applyBorder="1" applyAlignment="1">
      <alignment horizontal="center" vertical="center"/>
    </xf>
    <xf numFmtId="2" fontId="5" fillId="0" borderId="1" xfId="0" applyNumberFormat="1" applyFont="1" applyBorder="1"/>
    <xf numFmtId="0" fontId="5" fillId="0" borderId="1" xfId="0" applyFont="1" applyBorder="1"/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0" fontId="7" fillId="0" borderId="0" xfId="0" applyFont="1" applyBorder="1"/>
    <xf numFmtId="0" fontId="7" fillId="0" borderId="4" xfId="0" applyFont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6" xfId="0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left" vertical="center" wrapText="1"/>
    </xf>
    <xf numFmtId="2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left" vertical="center"/>
    </xf>
    <xf numFmtId="2" fontId="18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top" wrapText="1"/>
    </xf>
    <xf numFmtId="164" fontId="10" fillId="2" borderId="1" xfId="0" applyNumberFormat="1" applyFont="1" applyFill="1" applyBorder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2" fontId="10" fillId="0" borderId="1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2" fontId="8" fillId="0" borderId="3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/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5">
    <cellStyle name="st16" xfId="2"/>
    <cellStyle name="st19" xfId="4"/>
    <cellStyle name="xl26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Normal="110" zoomScaleSheetLayoutView="100" workbookViewId="0">
      <selection activeCell="A19" sqref="A19:G19"/>
    </sheetView>
  </sheetViews>
  <sheetFormatPr defaultRowHeight="15" x14ac:dyDescent="0.25"/>
  <cols>
    <col min="1" max="1" width="13.7109375" customWidth="1"/>
    <col min="2" max="2" width="34.28515625" customWidth="1"/>
    <col min="3" max="3" width="7" customWidth="1"/>
    <col min="4" max="4" width="7.7109375" customWidth="1"/>
    <col min="5" max="5" width="7" customWidth="1"/>
    <col min="7" max="7" width="8.28515625" customWidth="1"/>
  </cols>
  <sheetData>
    <row r="1" spans="1:10" ht="18" customHeight="1" x14ac:dyDescent="0.25">
      <c r="A1" s="216"/>
      <c r="B1" s="216"/>
      <c r="C1" s="216"/>
      <c r="D1" s="217"/>
      <c r="E1" s="217"/>
      <c r="F1" s="217"/>
      <c r="G1" s="217"/>
      <c r="H1" s="2"/>
      <c r="I1" s="2"/>
      <c r="J1" s="1"/>
    </row>
    <row r="2" spans="1:10" ht="15.75" x14ac:dyDescent="0.25">
      <c r="A2" s="96" t="s">
        <v>96</v>
      </c>
      <c r="B2" s="96"/>
      <c r="C2" s="97"/>
      <c r="D2" s="218" t="s">
        <v>57</v>
      </c>
      <c r="E2" s="218"/>
      <c r="F2" s="218"/>
      <c r="G2" s="218"/>
      <c r="H2" s="8"/>
      <c r="I2" s="2"/>
      <c r="J2" s="1"/>
    </row>
    <row r="3" spans="1:10" ht="15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  <c r="I3" s="2"/>
      <c r="J3" s="1"/>
    </row>
    <row r="4" spans="1:10" ht="24.75" customHeight="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3"/>
      <c r="I4" s="2"/>
      <c r="J4" s="1"/>
    </row>
    <row r="5" spans="1:10" x14ac:dyDescent="0.25">
      <c r="A5" s="15"/>
      <c r="B5" s="16"/>
      <c r="C5" s="16"/>
      <c r="D5" s="16"/>
      <c r="E5" s="16"/>
      <c r="F5" s="17" t="s">
        <v>9</v>
      </c>
      <c r="G5" s="16"/>
      <c r="H5" s="3"/>
      <c r="I5" s="2"/>
      <c r="J5" s="1"/>
    </row>
    <row r="6" spans="1:10" x14ac:dyDescent="0.25">
      <c r="A6" s="160" t="s">
        <v>34</v>
      </c>
      <c r="B6" s="177" t="s">
        <v>33</v>
      </c>
      <c r="C6" s="160">
        <v>200</v>
      </c>
      <c r="D6" s="182">
        <f>C6*3.4/100</f>
        <v>6.8</v>
      </c>
      <c r="E6" s="160">
        <f>C6*4.5/100</f>
        <v>9</v>
      </c>
      <c r="F6" s="182">
        <f>C6*16/100</f>
        <v>32</v>
      </c>
      <c r="G6" s="160">
        <f>221/200*C6</f>
        <v>221</v>
      </c>
      <c r="H6" s="3"/>
      <c r="I6" s="2"/>
      <c r="J6" s="1"/>
    </row>
    <row r="7" spans="1:10" x14ac:dyDescent="0.25">
      <c r="A7" s="158" t="s">
        <v>79</v>
      </c>
      <c r="B7" s="159" t="s">
        <v>38</v>
      </c>
      <c r="C7" s="160">
        <v>50</v>
      </c>
      <c r="D7" s="171">
        <f>5.875/50*C7</f>
        <v>5.875</v>
      </c>
      <c r="E7" s="171">
        <f>8.85/50*C7</f>
        <v>8.85</v>
      </c>
      <c r="F7" s="171">
        <f>14.53/50*C7</f>
        <v>14.529999999999998</v>
      </c>
      <c r="G7" s="171">
        <f>156.08/50*C7</f>
        <v>156.08000000000001</v>
      </c>
      <c r="H7" s="3"/>
      <c r="I7" s="2"/>
      <c r="J7" s="1"/>
    </row>
    <row r="8" spans="1:10" s="69" customFormat="1" x14ac:dyDescent="0.25">
      <c r="A8" s="162" t="s">
        <v>81</v>
      </c>
      <c r="B8" s="163" t="s">
        <v>16</v>
      </c>
      <c r="C8" s="164">
        <v>150</v>
      </c>
      <c r="D8" s="165">
        <f>3.6/150*C8</f>
        <v>3.6</v>
      </c>
      <c r="E8" s="165">
        <f>0.6/150*C8</f>
        <v>0.6</v>
      </c>
      <c r="F8" s="165">
        <f>14.7/150*C8</f>
        <v>14.7</v>
      </c>
      <c r="G8" s="165">
        <f>66.6/150*C8</f>
        <v>66.599999999999994</v>
      </c>
      <c r="H8" s="72"/>
      <c r="I8" s="71"/>
      <c r="J8" s="70"/>
    </row>
    <row r="9" spans="1:10" x14ac:dyDescent="0.25">
      <c r="A9" s="54" t="s">
        <v>63</v>
      </c>
      <c r="B9" s="94" t="s">
        <v>7</v>
      </c>
      <c r="C9" s="93">
        <v>30</v>
      </c>
      <c r="D9" s="93">
        <f>C9*7.7/100</f>
        <v>2.31</v>
      </c>
      <c r="E9" s="95">
        <f>C9*0.8/100</f>
        <v>0.24</v>
      </c>
      <c r="F9" s="93">
        <f>C9*49.5/100</f>
        <v>14.85</v>
      </c>
      <c r="G9" s="95">
        <f t="shared" ref="G9" si="0">F9*4+E9*9+D9*4</f>
        <v>70.8</v>
      </c>
      <c r="H9" s="3"/>
      <c r="I9" s="2"/>
      <c r="J9" s="1"/>
    </row>
    <row r="10" spans="1:10" ht="15.75" x14ac:dyDescent="0.25">
      <c r="A10" s="18" t="s">
        <v>31</v>
      </c>
      <c r="B10" s="19" t="s">
        <v>29</v>
      </c>
      <c r="C10" s="18">
        <v>200</v>
      </c>
      <c r="D10" s="20">
        <v>3.8719999999999999</v>
      </c>
      <c r="E10" s="20">
        <v>3.8000000000000003</v>
      </c>
      <c r="F10" s="20">
        <v>13.092000000000001</v>
      </c>
      <c r="G10" s="20">
        <v>101.88</v>
      </c>
      <c r="H10" s="3"/>
      <c r="I10" s="7"/>
      <c r="J10" s="7"/>
    </row>
    <row r="11" spans="1:10" ht="15.75" x14ac:dyDescent="0.25">
      <c r="A11" s="212" t="s">
        <v>20</v>
      </c>
      <c r="B11" s="213"/>
      <c r="C11" s="22">
        <f>SUM(C6:C10)</f>
        <v>630</v>
      </c>
      <c r="D11" s="23">
        <f t="shared" ref="D11:G11" si="1">SUM(D6:D10)</f>
        <v>22.457000000000001</v>
      </c>
      <c r="E11" s="22">
        <f t="shared" si="1"/>
        <v>22.490000000000002</v>
      </c>
      <c r="F11" s="23">
        <f t="shared" si="1"/>
        <v>89.171999999999997</v>
      </c>
      <c r="G11" s="22">
        <f t="shared" si="1"/>
        <v>616.36</v>
      </c>
      <c r="H11" s="3"/>
      <c r="I11" s="7"/>
      <c r="J11" s="7"/>
    </row>
    <row r="12" spans="1:10" x14ac:dyDescent="0.25">
      <c r="A12" s="212" t="s">
        <v>10</v>
      </c>
      <c r="B12" s="214"/>
      <c r="C12" s="214"/>
      <c r="D12" s="214"/>
      <c r="E12" s="214"/>
      <c r="F12" s="214"/>
      <c r="G12" s="214"/>
      <c r="H12" s="3"/>
      <c r="I12" s="2"/>
      <c r="J12" s="1"/>
    </row>
    <row r="13" spans="1:10" ht="25.5" x14ac:dyDescent="0.25">
      <c r="A13" s="146" t="s">
        <v>11</v>
      </c>
      <c r="B13" s="144" t="s">
        <v>98</v>
      </c>
      <c r="C13" s="146">
        <v>250</v>
      </c>
      <c r="D13" s="145">
        <v>6.52</v>
      </c>
      <c r="E13" s="145">
        <v>10.4</v>
      </c>
      <c r="F13" s="145">
        <v>13.9</v>
      </c>
      <c r="G13" s="145">
        <v>218.88</v>
      </c>
      <c r="H13" s="3"/>
      <c r="I13" s="2"/>
      <c r="J13" s="1"/>
    </row>
    <row r="14" spans="1:10" x14ac:dyDescent="0.25">
      <c r="A14" s="183" t="s">
        <v>93</v>
      </c>
      <c r="B14" s="184" t="s">
        <v>94</v>
      </c>
      <c r="C14" s="183">
        <v>150</v>
      </c>
      <c r="D14" s="185">
        <f>3.67/150*C14</f>
        <v>3.6700000000000004</v>
      </c>
      <c r="E14" s="185">
        <f>5.42/150*C14</f>
        <v>5.419999999999999</v>
      </c>
      <c r="F14" s="185">
        <f>36.67/150*C14</f>
        <v>36.67</v>
      </c>
      <c r="G14" s="185">
        <f>210.11/150*C14</f>
        <v>210.11</v>
      </c>
    </row>
    <row r="15" spans="1:10" ht="34.5" customHeight="1" x14ac:dyDescent="0.25">
      <c r="A15" s="84" t="s">
        <v>90</v>
      </c>
      <c r="B15" s="179" t="s">
        <v>89</v>
      </c>
      <c r="C15" s="180">
        <v>90</v>
      </c>
      <c r="D15" s="181">
        <f>13.7/75*C15</f>
        <v>16.439999999999998</v>
      </c>
      <c r="E15" s="181">
        <f>10.6/75*C15</f>
        <v>12.72</v>
      </c>
      <c r="F15" s="181">
        <f>18.2/75*C15</f>
        <v>21.84</v>
      </c>
      <c r="G15" s="181">
        <f>216.3/75*C15</f>
        <v>259.56000000000006</v>
      </c>
      <c r="H15" s="3"/>
      <c r="I15" s="2"/>
      <c r="J15" s="1"/>
    </row>
    <row r="16" spans="1:10" x14ac:dyDescent="0.25">
      <c r="A16" s="26" t="s">
        <v>44</v>
      </c>
      <c r="B16" s="19" t="s">
        <v>25</v>
      </c>
      <c r="C16" s="18">
        <v>30</v>
      </c>
      <c r="D16" s="53">
        <f>C16*1.3/50</f>
        <v>0.78</v>
      </c>
      <c r="E16" s="53">
        <f>C16*4.8/50</f>
        <v>2.88</v>
      </c>
      <c r="F16" s="53">
        <f>C16*4.7/50</f>
        <v>2.82</v>
      </c>
      <c r="G16" s="53">
        <f t="shared" ref="G16:G17" si="2">F16*4+E16*9+D16*4</f>
        <v>40.319999999999993</v>
      </c>
      <c r="H16" s="3"/>
      <c r="I16" s="2"/>
      <c r="J16" s="1"/>
    </row>
    <row r="17" spans="1:10" x14ac:dyDescent="0.25">
      <c r="A17" s="18"/>
      <c r="B17" s="19" t="s">
        <v>7</v>
      </c>
      <c r="C17" s="18">
        <v>20</v>
      </c>
      <c r="D17" s="18">
        <f>C17*7.7/100</f>
        <v>1.54</v>
      </c>
      <c r="E17" s="20">
        <f>C17*0.8/100</f>
        <v>0.16</v>
      </c>
      <c r="F17" s="18">
        <f>C17*49.5/100</f>
        <v>9.9</v>
      </c>
      <c r="G17" s="20">
        <f t="shared" si="2"/>
        <v>47.2</v>
      </c>
      <c r="H17" s="3"/>
      <c r="I17" s="2"/>
      <c r="J17" s="1"/>
    </row>
    <row r="18" spans="1:10" ht="15.75" x14ac:dyDescent="0.25">
      <c r="A18" s="18"/>
      <c r="B18" s="19" t="s">
        <v>14</v>
      </c>
      <c r="C18" s="18">
        <v>20</v>
      </c>
      <c r="D18" s="18">
        <f>C18*6.6/100</f>
        <v>1.32</v>
      </c>
      <c r="E18" s="18">
        <f>C18*1.1/100</f>
        <v>0.22</v>
      </c>
      <c r="F18" s="18">
        <f>C18*43.9/100</f>
        <v>8.7799999999999994</v>
      </c>
      <c r="G18" s="18">
        <f>F18*4+E18*9+D18*4</f>
        <v>42.379999999999995</v>
      </c>
      <c r="H18" s="3"/>
      <c r="I18" s="215"/>
      <c r="J18" s="215"/>
    </row>
    <row r="19" spans="1:10" ht="15.75" x14ac:dyDescent="0.25">
      <c r="A19" s="18" t="s">
        <v>32</v>
      </c>
      <c r="B19" s="19" t="s">
        <v>15</v>
      </c>
      <c r="C19" s="18">
        <v>200</v>
      </c>
      <c r="D19" s="74">
        <f>0.6/200*C19</f>
        <v>0.6</v>
      </c>
      <c r="E19" s="75">
        <f>0/200*C19</f>
        <v>0</v>
      </c>
      <c r="F19" s="74">
        <f>31.4/200*C19</f>
        <v>31.4</v>
      </c>
      <c r="G19" s="75">
        <f>128/200*C19</f>
        <v>128</v>
      </c>
      <c r="H19" s="3"/>
      <c r="I19" s="215"/>
      <c r="J19" s="215"/>
    </row>
    <row r="20" spans="1:10" x14ac:dyDescent="0.25">
      <c r="A20" s="212" t="s">
        <v>21</v>
      </c>
      <c r="B20" s="213"/>
      <c r="C20" s="103">
        <f t="shared" ref="C20:F20" si="3">SUM(C13:C19)</f>
        <v>760</v>
      </c>
      <c r="D20" s="23">
        <f t="shared" si="3"/>
        <v>30.869999999999997</v>
      </c>
      <c r="E20" s="23">
        <f t="shared" si="3"/>
        <v>31.799999999999997</v>
      </c>
      <c r="F20" s="23">
        <f t="shared" si="3"/>
        <v>125.31</v>
      </c>
      <c r="G20" s="23">
        <f>SUM(G13:G19)</f>
        <v>946.45000000000016</v>
      </c>
      <c r="H20" s="3"/>
      <c r="I20" s="2"/>
      <c r="J20" s="1"/>
    </row>
    <row r="21" spans="1:10" x14ac:dyDescent="0.25">
      <c r="A21" s="210"/>
      <c r="B21" s="211"/>
      <c r="C21" s="211"/>
      <c r="D21" s="211"/>
      <c r="E21" s="211"/>
      <c r="F21" s="211"/>
      <c r="G21" s="211"/>
      <c r="H21" s="3"/>
      <c r="I21" s="2"/>
      <c r="J21" s="1"/>
    </row>
    <row r="22" spans="1:10" x14ac:dyDescent="0.25">
      <c r="A22" s="212" t="s">
        <v>19</v>
      </c>
      <c r="B22" s="213"/>
      <c r="C22" s="18"/>
      <c r="D22" s="23">
        <f t="shared" ref="D22:G22" si="4">D11+D20</f>
        <v>53.326999999999998</v>
      </c>
      <c r="E22" s="23">
        <f t="shared" si="4"/>
        <v>54.29</v>
      </c>
      <c r="F22" s="23">
        <f t="shared" si="4"/>
        <v>214.482</v>
      </c>
      <c r="G22" s="23">
        <f t="shared" si="4"/>
        <v>1562.8100000000002</v>
      </c>
      <c r="H22" s="3"/>
      <c r="I22" s="2"/>
      <c r="J22" s="1"/>
    </row>
  </sheetData>
  <mergeCells count="15">
    <mergeCell ref="I19:J19"/>
    <mergeCell ref="A1:C1"/>
    <mergeCell ref="D1:G1"/>
    <mergeCell ref="D2:G2"/>
    <mergeCell ref="A3:A4"/>
    <mergeCell ref="B3:B4"/>
    <mergeCell ref="C3:C4"/>
    <mergeCell ref="D3:F3"/>
    <mergeCell ref="G3:G4"/>
    <mergeCell ref="I18:J18"/>
    <mergeCell ref="A21:G21"/>
    <mergeCell ref="A11:B11"/>
    <mergeCell ref="A20:B20"/>
    <mergeCell ref="A22:B22"/>
    <mergeCell ref="A12:G12"/>
  </mergeCells>
  <pageMargins left="0.51181102362204722" right="0.70866141732283472" top="0.74803149606299213" bottom="0.74803149606299213" header="0.31496062992125984" footer="0.31496062992125984"/>
  <pageSetup paperSize="9" scale="8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view="pageBreakPreview" zoomScaleNormal="110" zoomScaleSheetLayoutView="100" workbookViewId="0">
      <selection activeCell="A19" sqref="A19:G19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9.28515625" customWidth="1"/>
  </cols>
  <sheetData>
    <row r="1" spans="1:22" ht="15.75" x14ac:dyDescent="0.25">
      <c r="A1" s="216"/>
      <c r="B1" s="216"/>
      <c r="C1" s="216"/>
      <c r="D1" s="217"/>
      <c r="E1" s="217"/>
      <c r="F1" s="217"/>
      <c r="G1" s="217"/>
    </row>
    <row r="2" spans="1:22" ht="15.75" x14ac:dyDescent="0.25">
      <c r="A2" s="236" t="s">
        <v>96</v>
      </c>
      <c r="B2" s="236"/>
      <c r="C2" s="97"/>
      <c r="D2" s="218" t="s">
        <v>59</v>
      </c>
      <c r="E2" s="218"/>
      <c r="F2" s="218"/>
      <c r="G2" s="218"/>
    </row>
    <row r="3" spans="1:22" ht="18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</row>
    <row r="4" spans="1:22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2"/>
    </row>
    <row r="5" spans="1:22" x14ac:dyDescent="0.25">
      <c r="A5" s="90"/>
      <c r="B5" s="91"/>
      <c r="C5" s="91"/>
      <c r="D5" s="91"/>
      <c r="E5" s="91"/>
      <c r="F5" s="92" t="s">
        <v>9</v>
      </c>
      <c r="G5" s="91"/>
      <c r="H5" s="2"/>
    </row>
    <row r="6" spans="1:22" x14ac:dyDescent="0.25">
      <c r="A6" s="168" t="s">
        <v>79</v>
      </c>
      <c r="B6" s="150" t="s">
        <v>109</v>
      </c>
      <c r="C6" s="168">
        <v>200</v>
      </c>
      <c r="D6" s="205">
        <f>8.6/150*C6</f>
        <v>11.466666666666667</v>
      </c>
      <c r="E6" s="205">
        <f>9.2/150*C6</f>
        <v>12.266666666666666</v>
      </c>
      <c r="F6" s="206">
        <f>35.69/150*C6</f>
        <v>47.586666666666666</v>
      </c>
      <c r="G6" s="169">
        <f>216.4/150*C6</f>
        <v>288.53333333333336</v>
      </c>
      <c r="H6" s="5"/>
    </row>
    <row r="7" spans="1:22" x14ac:dyDescent="0.25">
      <c r="A7" s="87" t="s">
        <v>79</v>
      </c>
      <c r="B7" s="88" t="s">
        <v>38</v>
      </c>
      <c r="C7" s="160">
        <v>40</v>
      </c>
      <c r="D7" s="182">
        <f>5.875/50*C7</f>
        <v>4.6999999999999993</v>
      </c>
      <c r="E7" s="182">
        <f>8.85/50*C7</f>
        <v>7.08</v>
      </c>
      <c r="F7" s="182">
        <f>14.53/50*C7</f>
        <v>11.623999999999999</v>
      </c>
      <c r="G7" s="182">
        <f>156.08/50*C7</f>
        <v>124.86400000000002</v>
      </c>
      <c r="H7" s="3"/>
    </row>
    <row r="8" spans="1:22" s="69" customFormat="1" x14ac:dyDescent="0.25">
      <c r="A8" s="158" t="s">
        <v>81</v>
      </c>
      <c r="B8" s="159" t="s">
        <v>28</v>
      </c>
      <c r="C8" s="160">
        <v>100</v>
      </c>
      <c r="D8" s="171">
        <f>1.5/100*C8</f>
        <v>1.5</v>
      </c>
      <c r="E8" s="171">
        <f>2.5/100*C8</f>
        <v>2.5</v>
      </c>
      <c r="F8" s="171">
        <f>11/100*C8</f>
        <v>11</v>
      </c>
      <c r="G8" s="171">
        <f>54.5/100*C8</f>
        <v>54.500000000000007</v>
      </c>
      <c r="H8" s="72"/>
    </row>
    <row r="9" spans="1:22" s="38" customFormat="1" x14ac:dyDescent="0.25">
      <c r="A9" s="49"/>
      <c r="B9" s="94" t="s">
        <v>7</v>
      </c>
      <c r="C9" s="93">
        <v>40</v>
      </c>
      <c r="D9" s="93">
        <f>C9*7.7/100</f>
        <v>3.08</v>
      </c>
      <c r="E9" s="95">
        <f>C9*0.8/100</f>
        <v>0.32</v>
      </c>
      <c r="F9" s="93">
        <f>C9*49.5/100</f>
        <v>19.8</v>
      </c>
      <c r="G9" s="95">
        <f>F9*4+E9*9+D9*4</f>
        <v>94.4</v>
      </c>
      <c r="H9" s="209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</row>
    <row r="10" spans="1:22" x14ac:dyDescent="0.25">
      <c r="A10" s="42" t="s">
        <v>27</v>
      </c>
      <c r="B10" s="52" t="s">
        <v>26</v>
      </c>
      <c r="C10" s="168">
        <v>200</v>
      </c>
      <c r="D10" s="169">
        <f>0.3/200*C10</f>
        <v>0.3</v>
      </c>
      <c r="E10" s="170">
        <f>0/200*C10</f>
        <v>0</v>
      </c>
      <c r="F10" s="169">
        <f>2.2/200*C10</f>
        <v>2.2000000000000002</v>
      </c>
      <c r="G10" s="169">
        <f>69.9/200*C10</f>
        <v>69.900000000000006</v>
      </c>
      <c r="H10" s="3"/>
    </row>
    <row r="11" spans="1:22" x14ac:dyDescent="0.25">
      <c r="A11" s="212" t="s">
        <v>20</v>
      </c>
      <c r="B11" s="213"/>
      <c r="C11" s="22">
        <f>SUM(C6:C10)</f>
        <v>580</v>
      </c>
      <c r="D11" s="23">
        <f>SUM(D6:D10)</f>
        <v>21.046666666666663</v>
      </c>
      <c r="E11" s="23">
        <f t="shared" ref="E11:G11" si="0">SUM(E6:E10)</f>
        <v>22.166666666666664</v>
      </c>
      <c r="F11" s="23">
        <f t="shared" si="0"/>
        <v>92.210666666666668</v>
      </c>
      <c r="G11" s="23">
        <f t="shared" si="0"/>
        <v>632.1973333333334</v>
      </c>
      <c r="H11" s="3"/>
    </row>
    <row r="12" spans="1:22" x14ac:dyDescent="0.25">
      <c r="A12" s="212" t="s">
        <v>10</v>
      </c>
      <c r="B12" s="214"/>
      <c r="C12" s="214"/>
      <c r="D12" s="214"/>
      <c r="E12" s="214"/>
      <c r="F12" s="214"/>
      <c r="G12" s="214"/>
      <c r="H12" s="3"/>
    </row>
    <row r="13" spans="1:22" x14ac:dyDescent="0.25">
      <c r="A13" s="141" t="s">
        <v>64</v>
      </c>
      <c r="B13" s="142" t="s">
        <v>65</v>
      </c>
      <c r="C13" s="141">
        <v>200</v>
      </c>
      <c r="D13" s="141">
        <f>2.2/250*C13</f>
        <v>1.76</v>
      </c>
      <c r="E13" s="141">
        <f>2.78/250*C13</f>
        <v>2.2239999999999998</v>
      </c>
      <c r="F13" s="141">
        <f>15.38/250*C13</f>
        <v>12.304</v>
      </c>
      <c r="G13" s="141">
        <v>106</v>
      </c>
      <c r="H13" s="3"/>
    </row>
    <row r="14" spans="1:22" s="208" customFormat="1" x14ac:dyDescent="0.25">
      <c r="A14" s="160" t="s">
        <v>79</v>
      </c>
      <c r="B14" s="177" t="s">
        <v>86</v>
      </c>
      <c r="C14" s="160">
        <v>150</v>
      </c>
      <c r="D14" s="182">
        <f>2.7/200*C14</f>
        <v>2.0250000000000004</v>
      </c>
      <c r="E14" s="182">
        <f>4.48/200*C14</f>
        <v>3.3600000000000003</v>
      </c>
      <c r="F14" s="182">
        <f>70.6/200*C14</f>
        <v>52.949999999999996</v>
      </c>
      <c r="G14" s="182">
        <f>291.2/200*C14</f>
        <v>218.4</v>
      </c>
      <c r="H14" s="207"/>
    </row>
    <row r="15" spans="1:22" s="208" customFormat="1" x14ac:dyDescent="0.25">
      <c r="A15" s="160" t="s">
        <v>79</v>
      </c>
      <c r="B15" s="177" t="s">
        <v>87</v>
      </c>
      <c r="C15" s="160">
        <v>100</v>
      </c>
      <c r="D15" s="182">
        <f>14.8/100*C15</f>
        <v>14.800000000000002</v>
      </c>
      <c r="E15" s="182">
        <f>16.65/100*C15</f>
        <v>16.649999999999999</v>
      </c>
      <c r="F15" s="182">
        <f>10.82/100*C15</f>
        <v>10.82</v>
      </c>
      <c r="G15" s="182">
        <f>262.3/100*C15</f>
        <v>262.3</v>
      </c>
      <c r="H15" s="207"/>
    </row>
    <row r="16" spans="1:22" x14ac:dyDescent="0.25">
      <c r="A16" s="18" t="s">
        <v>44</v>
      </c>
      <c r="B16" s="19" t="s">
        <v>25</v>
      </c>
      <c r="C16" s="18">
        <v>40</v>
      </c>
      <c r="D16" s="18">
        <f>C16*1.3/50</f>
        <v>1.04</v>
      </c>
      <c r="E16" s="18">
        <f>C16*4.8/50</f>
        <v>3.84</v>
      </c>
      <c r="F16" s="18">
        <f>C16*4.7/50</f>
        <v>3.76</v>
      </c>
      <c r="G16" s="18">
        <f t="shared" ref="G16" si="1">F16*4+E16*9+D16*4</f>
        <v>53.760000000000005</v>
      </c>
      <c r="H16" s="3"/>
    </row>
    <row r="17" spans="1:8" x14ac:dyDescent="0.25">
      <c r="A17" s="18"/>
      <c r="B17" s="19" t="s">
        <v>7</v>
      </c>
      <c r="C17" s="18">
        <v>40</v>
      </c>
      <c r="D17" s="18">
        <f>C17*7.7/100</f>
        <v>3.08</v>
      </c>
      <c r="E17" s="20">
        <f>C17*0.8/100</f>
        <v>0.32</v>
      </c>
      <c r="F17" s="18">
        <f>C17*49.5/100</f>
        <v>19.8</v>
      </c>
      <c r="G17" s="20">
        <f>F17*4+E17*9+D17*4</f>
        <v>94.4</v>
      </c>
      <c r="H17" s="3"/>
    </row>
    <row r="18" spans="1:8" x14ac:dyDescent="0.25">
      <c r="A18" s="18"/>
      <c r="B18" s="19" t="s">
        <v>14</v>
      </c>
      <c r="C18" s="18">
        <v>40</v>
      </c>
      <c r="D18" s="18">
        <f>C18*6.6/100</f>
        <v>2.64</v>
      </c>
      <c r="E18" s="18">
        <f>C18*1.1/100</f>
        <v>0.44</v>
      </c>
      <c r="F18" s="18">
        <f>C18*43.9/100</f>
        <v>17.559999999999999</v>
      </c>
      <c r="G18" s="18">
        <f>F18*4+E18*9+D18*4</f>
        <v>84.759999999999991</v>
      </c>
      <c r="H18" s="3"/>
    </row>
    <row r="19" spans="1:8" x14ac:dyDescent="0.25">
      <c r="A19" s="168" t="s">
        <v>31</v>
      </c>
      <c r="B19" s="167" t="s">
        <v>29</v>
      </c>
      <c r="C19" s="168">
        <v>200</v>
      </c>
      <c r="D19" s="169">
        <v>3.8719999999999999</v>
      </c>
      <c r="E19" s="169">
        <v>3.8000000000000003</v>
      </c>
      <c r="F19" s="169">
        <v>13.092000000000001</v>
      </c>
      <c r="G19" s="169">
        <v>101.88</v>
      </c>
      <c r="H19" s="3"/>
    </row>
    <row r="20" spans="1:8" x14ac:dyDescent="0.25">
      <c r="A20" s="212" t="s">
        <v>21</v>
      </c>
      <c r="B20" s="213"/>
      <c r="C20" s="102">
        <f t="shared" ref="C20:F20" si="2">SUM(C13:C19)</f>
        <v>770</v>
      </c>
      <c r="D20" s="23">
        <f t="shared" si="2"/>
        <v>29.216999999999999</v>
      </c>
      <c r="E20" s="23">
        <f t="shared" si="2"/>
        <v>30.634</v>
      </c>
      <c r="F20" s="22">
        <f t="shared" si="2"/>
        <v>130.286</v>
      </c>
      <c r="G20" s="23">
        <f>SUM(G13:G19)</f>
        <v>921.5</v>
      </c>
      <c r="H20" s="3"/>
    </row>
    <row r="21" spans="1:8" x14ac:dyDescent="0.25">
      <c r="A21" s="210"/>
      <c r="B21" s="211"/>
      <c r="C21" s="211"/>
      <c r="D21" s="211"/>
      <c r="E21" s="211"/>
      <c r="F21" s="211"/>
      <c r="G21" s="211"/>
      <c r="H21" s="3"/>
    </row>
    <row r="22" spans="1:8" x14ac:dyDescent="0.25">
      <c r="A22" s="212" t="s">
        <v>19</v>
      </c>
      <c r="B22" s="213"/>
      <c r="C22" s="18"/>
      <c r="D22" s="23">
        <f t="shared" ref="D22:G22" si="3">D11+D20</f>
        <v>50.263666666666666</v>
      </c>
      <c r="E22" s="23">
        <f t="shared" si="3"/>
        <v>52.800666666666665</v>
      </c>
      <c r="F22" s="23">
        <f t="shared" si="3"/>
        <v>222.49666666666667</v>
      </c>
      <c r="G22" s="23">
        <f t="shared" si="3"/>
        <v>1553.6973333333335</v>
      </c>
      <c r="H22" s="3"/>
    </row>
    <row r="32" spans="1:8" x14ac:dyDescent="0.25">
      <c r="B32" s="3"/>
      <c r="C32" s="4"/>
      <c r="D32" s="3"/>
      <c r="E32" s="5"/>
      <c r="F32" s="5"/>
      <c r="G32" s="3"/>
      <c r="H32" s="5"/>
    </row>
  </sheetData>
  <mergeCells count="14">
    <mergeCell ref="A1:C1"/>
    <mergeCell ref="D1:G1"/>
    <mergeCell ref="D2:G2"/>
    <mergeCell ref="A2:B2"/>
    <mergeCell ref="A22:B22"/>
    <mergeCell ref="A3:A4"/>
    <mergeCell ref="B3:B4"/>
    <mergeCell ref="C3:C4"/>
    <mergeCell ref="D3:F3"/>
    <mergeCell ref="A11:B11"/>
    <mergeCell ref="A12:G12"/>
    <mergeCell ref="A20:B20"/>
    <mergeCell ref="A21:G21"/>
    <mergeCell ref="G3:G4"/>
  </mergeCells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Normal="110" zoomScaleSheetLayoutView="100" workbookViewId="0">
      <selection activeCell="K20" sqref="K20"/>
    </sheetView>
  </sheetViews>
  <sheetFormatPr defaultRowHeight="15" x14ac:dyDescent="0.25"/>
  <cols>
    <col min="1" max="1" width="9.85546875" customWidth="1"/>
    <col min="2" max="2" width="29" customWidth="1"/>
    <col min="3" max="3" width="6.7109375" customWidth="1"/>
    <col min="4" max="4" width="7.7109375" customWidth="1"/>
    <col min="5" max="5" width="7" customWidth="1"/>
    <col min="6" max="6" width="8.5703125" customWidth="1"/>
    <col min="7" max="7" width="8.85546875" customWidth="1"/>
    <col min="8" max="8" width="9" customWidth="1"/>
    <col min="9" max="10" width="9.140625" hidden="1" customWidth="1"/>
  </cols>
  <sheetData>
    <row r="1" spans="1:11" ht="15.75" x14ac:dyDescent="0.25">
      <c r="A1" s="216"/>
      <c r="B1" s="216"/>
      <c r="C1" s="216"/>
      <c r="D1" s="217"/>
      <c r="E1" s="217"/>
      <c r="F1" s="217"/>
      <c r="G1" s="217"/>
    </row>
    <row r="2" spans="1:11" ht="15.75" x14ac:dyDescent="0.25">
      <c r="A2" s="96" t="s">
        <v>96</v>
      </c>
      <c r="B2" s="96"/>
      <c r="C2" s="97"/>
      <c r="D2" s="218" t="s">
        <v>60</v>
      </c>
      <c r="E2" s="218"/>
      <c r="F2" s="218"/>
      <c r="G2" s="218"/>
    </row>
    <row r="3" spans="1:11" ht="18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75</v>
      </c>
      <c r="H3" s="2"/>
      <c r="I3" s="2"/>
      <c r="J3" s="2"/>
      <c r="K3" s="1"/>
    </row>
    <row r="4" spans="1:1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2"/>
      <c r="I4" s="2"/>
      <c r="J4" s="2"/>
      <c r="K4" s="1"/>
    </row>
    <row r="5" spans="1:11" x14ac:dyDescent="0.25">
      <c r="A5" s="90"/>
      <c r="B5" s="91"/>
      <c r="C5" s="91"/>
      <c r="D5" s="91"/>
      <c r="E5" s="91"/>
      <c r="F5" s="92" t="s">
        <v>9</v>
      </c>
      <c r="G5" s="91"/>
      <c r="H5" s="2"/>
      <c r="I5" s="2"/>
      <c r="J5" s="2"/>
      <c r="K5" s="1"/>
    </row>
    <row r="6" spans="1:11" ht="25.5" customHeight="1" x14ac:dyDescent="0.25">
      <c r="A6" s="160" t="s">
        <v>79</v>
      </c>
      <c r="B6" s="177" t="s">
        <v>100</v>
      </c>
      <c r="C6" s="160">
        <v>200</v>
      </c>
      <c r="D6" s="160">
        <f>11/250*C6</f>
        <v>8.7999999999999989</v>
      </c>
      <c r="E6" s="160">
        <f>8.52/250*C6</f>
        <v>6.8159999999999998</v>
      </c>
      <c r="F6" s="171">
        <f>24.55/250*C6</f>
        <v>19.64</v>
      </c>
      <c r="G6" s="160">
        <f>211.5/250*C6</f>
        <v>169.2</v>
      </c>
      <c r="H6" s="3"/>
      <c r="I6" s="3"/>
      <c r="J6" s="2"/>
      <c r="K6" s="1"/>
    </row>
    <row r="7" spans="1:11" s="136" customFormat="1" ht="25.5" customHeight="1" x14ac:dyDescent="0.25">
      <c r="A7" s="160" t="s">
        <v>54</v>
      </c>
      <c r="B7" s="177" t="s">
        <v>55</v>
      </c>
      <c r="C7" s="160">
        <v>50</v>
      </c>
      <c r="D7" s="160">
        <f>2.45/40*C7</f>
        <v>3.0625000000000004</v>
      </c>
      <c r="E7" s="160">
        <f>8.55/40*C7</f>
        <v>10.687500000000002</v>
      </c>
      <c r="F7" s="182">
        <f>14.62/40*C7</f>
        <v>18.274999999999999</v>
      </c>
      <c r="G7" s="160">
        <f>145/40*C7</f>
        <v>181.25</v>
      </c>
      <c r="H7" s="119"/>
      <c r="I7" s="119"/>
      <c r="J7" s="118"/>
      <c r="K7" s="117"/>
    </row>
    <row r="8" spans="1:11" x14ac:dyDescent="0.25">
      <c r="A8" s="54"/>
      <c r="B8" s="94" t="s">
        <v>7</v>
      </c>
      <c r="C8" s="93">
        <v>60</v>
      </c>
      <c r="D8" s="93">
        <f>C8*7.7/100</f>
        <v>4.62</v>
      </c>
      <c r="E8" s="95">
        <f>C8*0.8/100</f>
        <v>0.48</v>
      </c>
      <c r="F8" s="93">
        <f>C8*49.5/100</f>
        <v>29.7</v>
      </c>
      <c r="G8" s="95">
        <f t="shared" ref="G8" si="0">F8*4+E8*9+D8*4</f>
        <v>141.6</v>
      </c>
      <c r="H8" s="3"/>
      <c r="I8" s="3"/>
      <c r="J8" s="2"/>
      <c r="K8" s="1"/>
    </row>
    <row r="9" spans="1:11" s="69" customFormat="1" x14ac:dyDescent="0.25">
      <c r="A9" s="158" t="s">
        <v>81</v>
      </c>
      <c r="B9" s="159" t="s">
        <v>16</v>
      </c>
      <c r="C9" s="160">
        <v>100</v>
      </c>
      <c r="D9" s="182">
        <f>3.6/150*C9</f>
        <v>2.4</v>
      </c>
      <c r="E9" s="182">
        <f>0.6/150*C9</f>
        <v>0.4</v>
      </c>
      <c r="F9" s="182">
        <f>14.7/150*C9</f>
        <v>9.7999999999999989</v>
      </c>
      <c r="G9" s="182">
        <f>66.6/150*C9</f>
        <v>44.399999999999991</v>
      </c>
      <c r="H9" s="72"/>
      <c r="I9" s="72"/>
      <c r="J9" s="71"/>
      <c r="K9" s="70"/>
    </row>
    <row r="10" spans="1:11" x14ac:dyDescent="0.25">
      <c r="A10" s="18" t="s">
        <v>31</v>
      </c>
      <c r="B10" s="19" t="s">
        <v>29</v>
      </c>
      <c r="C10" s="123">
        <v>200</v>
      </c>
      <c r="D10" s="124">
        <v>3.8719999999999999</v>
      </c>
      <c r="E10" s="125">
        <v>3.8000000000000003</v>
      </c>
      <c r="F10" s="124">
        <v>13.092000000000001</v>
      </c>
      <c r="G10" s="124">
        <v>101.88</v>
      </c>
      <c r="H10" s="3"/>
      <c r="I10" s="3"/>
      <c r="J10" s="2"/>
      <c r="K10" s="1"/>
    </row>
    <row r="11" spans="1:11" x14ac:dyDescent="0.25">
      <c r="A11" s="212" t="s">
        <v>20</v>
      </c>
      <c r="B11" s="213"/>
      <c r="C11" s="22">
        <f t="shared" ref="C11:G11" si="1">SUM(C6:C10)</f>
        <v>610</v>
      </c>
      <c r="D11" s="23">
        <f t="shared" si="1"/>
        <v>22.754499999999997</v>
      </c>
      <c r="E11" s="23">
        <f t="shared" si="1"/>
        <v>22.183500000000002</v>
      </c>
      <c r="F11" s="23">
        <f t="shared" si="1"/>
        <v>90.506999999999991</v>
      </c>
      <c r="G11" s="23">
        <f t="shared" si="1"/>
        <v>638.32999999999993</v>
      </c>
      <c r="H11" s="3"/>
      <c r="I11" s="3"/>
      <c r="J11" s="2" t="s">
        <v>8</v>
      </c>
      <c r="K11" s="1"/>
    </row>
    <row r="12" spans="1:11" x14ac:dyDescent="0.25">
      <c r="A12" s="212" t="s">
        <v>10</v>
      </c>
      <c r="B12" s="214"/>
      <c r="C12" s="214"/>
      <c r="D12" s="214"/>
      <c r="E12" s="214"/>
      <c r="F12" s="214"/>
      <c r="G12" s="214"/>
      <c r="H12" s="3"/>
      <c r="I12" s="3"/>
      <c r="J12" s="2"/>
      <c r="K12" s="1"/>
    </row>
    <row r="13" spans="1:11" x14ac:dyDescent="0.25">
      <c r="A13" s="18" t="s">
        <v>50</v>
      </c>
      <c r="B13" s="19" t="s">
        <v>49</v>
      </c>
      <c r="C13" s="18">
        <v>60</v>
      </c>
      <c r="D13" s="20">
        <f>C13*11.8/100</f>
        <v>7.08</v>
      </c>
      <c r="E13" s="20">
        <f>C13*5/100</f>
        <v>3</v>
      </c>
      <c r="F13" s="20">
        <f>C13*27.9/100</f>
        <v>16.739999999999998</v>
      </c>
      <c r="G13" s="20">
        <v>42.78</v>
      </c>
      <c r="H13" s="3"/>
      <c r="I13" s="3"/>
      <c r="J13" s="2"/>
      <c r="K13" s="1"/>
    </row>
    <row r="14" spans="1:11" x14ac:dyDescent="0.25">
      <c r="A14" s="18" t="s">
        <v>36</v>
      </c>
      <c r="B14" s="150" t="s">
        <v>91</v>
      </c>
      <c r="C14" s="18">
        <v>250</v>
      </c>
      <c r="D14" s="20">
        <f>C14*1.17/100</f>
        <v>2.9249999999999998</v>
      </c>
      <c r="E14" s="20">
        <f>C14*2.05/100</f>
        <v>5.125</v>
      </c>
      <c r="F14" s="20">
        <f>C14*9.94/100</f>
        <v>24.85</v>
      </c>
      <c r="G14" s="20">
        <f t="shared" ref="G14:G17" si="2">F14*4+E14*9+D14*4</f>
        <v>157.22499999999999</v>
      </c>
      <c r="H14" s="3"/>
      <c r="I14" s="3"/>
      <c r="J14" s="2"/>
      <c r="K14" s="1"/>
    </row>
    <row r="15" spans="1:11" x14ac:dyDescent="0.25">
      <c r="A15" s="18" t="s">
        <v>13</v>
      </c>
      <c r="B15" s="24" t="s">
        <v>12</v>
      </c>
      <c r="C15" s="18">
        <v>200</v>
      </c>
      <c r="D15" s="20">
        <f>C15*2.1/100</f>
        <v>4.2</v>
      </c>
      <c r="E15" s="20">
        <f>C15*4.5/100</f>
        <v>9</v>
      </c>
      <c r="F15" s="20">
        <f>C15*14.6/100</f>
        <v>29.2</v>
      </c>
      <c r="G15" s="20">
        <v>214.56</v>
      </c>
      <c r="H15" s="3"/>
      <c r="I15" s="3"/>
      <c r="J15" s="2"/>
      <c r="K15" s="1"/>
    </row>
    <row r="16" spans="1:11" x14ac:dyDescent="0.25">
      <c r="A16" s="18" t="s">
        <v>79</v>
      </c>
      <c r="B16" s="19" t="s">
        <v>99</v>
      </c>
      <c r="C16" s="18">
        <v>90</v>
      </c>
      <c r="D16" s="20">
        <f>12.91/100*C16</f>
        <v>11.619</v>
      </c>
      <c r="E16" s="20">
        <f>14.158/100*C16</f>
        <v>12.742199999999999</v>
      </c>
      <c r="F16" s="20">
        <f>29.938/100*C16</f>
        <v>26.944199999999999</v>
      </c>
      <c r="G16" s="20">
        <f>380.54/100*C16</f>
        <v>342.48599999999999</v>
      </c>
      <c r="H16" s="3"/>
      <c r="I16" s="3"/>
      <c r="J16" s="2"/>
      <c r="K16" s="1"/>
    </row>
    <row r="17" spans="1:11" x14ac:dyDescent="0.25">
      <c r="A17" s="18"/>
      <c r="B17" s="19" t="s">
        <v>7</v>
      </c>
      <c r="C17" s="18">
        <v>30</v>
      </c>
      <c r="D17" s="18">
        <f>C17*7.7/100</f>
        <v>2.31</v>
      </c>
      <c r="E17" s="20">
        <f>C17*0.8/100</f>
        <v>0.24</v>
      </c>
      <c r="F17" s="18">
        <f>C17*49.5/100</f>
        <v>14.85</v>
      </c>
      <c r="G17" s="20">
        <f t="shared" si="2"/>
        <v>70.8</v>
      </c>
      <c r="H17" s="3"/>
      <c r="I17" s="3"/>
      <c r="J17" s="2"/>
      <c r="K17" s="1"/>
    </row>
    <row r="18" spans="1:11" x14ac:dyDescent="0.25">
      <c r="A18" s="18" t="s">
        <v>52</v>
      </c>
      <c r="B18" s="19" t="s">
        <v>51</v>
      </c>
      <c r="C18" s="66">
        <v>200</v>
      </c>
      <c r="D18" s="67">
        <f>0.4/200*C18</f>
        <v>0.4</v>
      </c>
      <c r="E18" s="67">
        <f>0.27/200*C18</f>
        <v>0.27</v>
      </c>
      <c r="F18" s="67">
        <f>17.2/200*C18</f>
        <v>17.2</v>
      </c>
      <c r="G18" s="67">
        <f>72.83/200*C18</f>
        <v>72.83</v>
      </c>
      <c r="H18" s="3"/>
      <c r="I18" s="3"/>
      <c r="J18" s="2"/>
      <c r="K18" s="1"/>
    </row>
    <row r="19" spans="1:11" x14ac:dyDescent="0.25">
      <c r="A19" s="212" t="s">
        <v>21</v>
      </c>
      <c r="B19" s="213"/>
      <c r="C19" s="102">
        <f t="shared" ref="C19:E19" si="3">SUM(C13:C18)</f>
        <v>830</v>
      </c>
      <c r="D19" s="23">
        <f t="shared" si="3"/>
        <v>28.533999999999995</v>
      </c>
      <c r="E19" s="23">
        <f t="shared" si="3"/>
        <v>30.377199999999995</v>
      </c>
      <c r="F19" s="23">
        <f>SUM(F13:F18)</f>
        <v>129.7842</v>
      </c>
      <c r="G19" s="23">
        <f>SUM(G13:G18)</f>
        <v>900.68099999999993</v>
      </c>
      <c r="H19" s="3"/>
      <c r="I19" s="3"/>
      <c r="J19" s="2"/>
      <c r="K19" s="1"/>
    </row>
    <row r="20" spans="1:11" x14ac:dyDescent="0.25">
      <c r="A20" s="210"/>
      <c r="B20" s="211"/>
      <c r="C20" s="211"/>
      <c r="D20" s="211"/>
      <c r="E20" s="211"/>
      <c r="F20" s="211"/>
      <c r="G20" s="211"/>
      <c r="H20" s="3"/>
      <c r="I20" s="3"/>
      <c r="J20" s="2"/>
      <c r="K20" s="1"/>
    </row>
    <row r="21" spans="1:11" x14ac:dyDescent="0.25">
      <c r="A21" s="212" t="s">
        <v>19</v>
      </c>
      <c r="B21" s="213"/>
      <c r="C21" s="18"/>
      <c r="D21" s="23">
        <f t="shared" ref="D21:G21" si="4">D11+D19</f>
        <v>51.288499999999992</v>
      </c>
      <c r="E21" s="23">
        <f t="shared" si="4"/>
        <v>52.560699999999997</v>
      </c>
      <c r="F21" s="23">
        <f t="shared" si="4"/>
        <v>220.2912</v>
      </c>
      <c r="G21" s="23">
        <f t="shared" si="4"/>
        <v>1539.011</v>
      </c>
      <c r="H21" s="3"/>
      <c r="I21" s="3"/>
      <c r="J21" s="2"/>
      <c r="K21" s="1"/>
    </row>
  </sheetData>
  <mergeCells count="13">
    <mergeCell ref="A1:C1"/>
    <mergeCell ref="D1:G1"/>
    <mergeCell ref="D2:G2"/>
    <mergeCell ref="A21:B21"/>
    <mergeCell ref="A3:A4"/>
    <mergeCell ref="B3:B4"/>
    <mergeCell ref="C3:C4"/>
    <mergeCell ref="D3:F3"/>
    <mergeCell ref="A11:B11"/>
    <mergeCell ref="A12:G12"/>
    <mergeCell ref="A19:B19"/>
    <mergeCell ref="A20:G20"/>
    <mergeCell ref="G3:G4"/>
  </mergeCells>
  <pageMargins left="0.7" right="0.7" top="0.75" bottom="0.75" header="0.3" footer="0.3"/>
  <pageSetup paperSize="9" scale="91" orientation="landscape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10" zoomScaleSheetLayoutView="100" workbookViewId="0">
      <selection activeCell="Q2" sqref="Q2"/>
    </sheetView>
  </sheetViews>
  <sheetFormatPr defaultRowHeight="15" x14ac:dyDescent="0.25"/>
  <cols>
    <col min="1" max="1" width="9.85546875" customWidth="1"/>
    <col min="2" max="2" width="25.7109375" customWidth="1"/>
    <col min="3" max="3" width="8" customWidth="1"/>
    <col min="4" max="4" width="7.7109375" customWidth="1"/>
    <col min="5" max="5" width="7" customWidth="1"/>
    <col min="7" max="7" width="10.140625" customWidth="1"/>
  </cols>
  <sheetData>
    <row r="1" spans="1:10" ht="15.75" x14ac:dyDescent="0.25">
      <c r="A1" s="216"/>
      <c r="B1" s="216"/>
      <c r="C1" s="216"/>
      <c r="D1" s="217"/>
      <c r="E1" s="217"/>
      <c r="F1" s="217"/>
      <c r="G1" s="217"/>
    </row>
    <row r="2" spans="1:10" ht="15.75" x14ac:dyDescent="0.25">
      <c r="A2" s="96" t="s">
        <v>96</v>
      </c>
      <c r="B2" s="96"/>
      <c r="C2" s="97"/>
      <c r="D2" s="218" t="s">
        <v>61</v>
      </c>
      <c r="E2" s="218"/>
      <c r="F2" s="218"/>
      <c r="G2" s="218"/>
    </row>
    <row r="3" spans="1:10" ht="18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  <c r="I3" s="2"/>
      <c r="J3" s="1"/>
    </row>
    <row r="4" spans="1:10" ht="58.5" customHeight="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2"/>
      <c r="I4" s="2"/>
      <c r="J4" s="1"/>
    </row>
    <row r="5" spans="1:10" x14ac:dyDescent="0.25">
      <c r="A5" s="15"/>
      <c r="B5" s="16"/>
      <c r="C5" s="16"/>
      <c r="D5" s="16"/>
      <c r="E5" s="16"/>
      <c r="F5" s="17" t="s">
        <v>9</v>
      </c>
      <c r="G5" s="16"/>
      <c r="H5" s="2"/>
      <c r="I5" s="2"/>
      <c r="J5" s="1"/>
    </row>
    <row r="6" spans="1:10" ht="25.5" customHeight="1" x14ac:dyDescent="0.25">
      <c r="A6" s="188" t="s">
        <v>79</v>
      </c>
      <c r="B6" s="189" t="s">
        <v>82</v>
      </c>
      <c r="C6" s="188">
        <v>150</v>
      </c>
      <c r="D6" s="160">
        <f>14.42/200*C6</f>
        <v>10.815</v>
      </c>
      <c r="E6" s="160">
        <f>14.1/200*C6</f>
        <v>10.574999999999999</v>
      </c>
      <c r="F6" s="190">
        <f>44.1/200*C6</f>
        <v>33.075000000000003</v>
      </c>
      <c r="G6" s="182">
        <f>486/200*C6</f>
        <v>364.5</v>
      </c>
      <c r="H6" s="3"/>
      <c r="I6" s="2"/>
      <c r="J6" s="1"/>
    </row>
    <row r="7" spans="1:10" s="136" customFormat="1" ht="25.5" customHeight="1" x14ac:dyDescent="0.25">
      <c r="A7" s="141" t="s">
        <v>81</v>
      </c>
      <c r="B7" s="142" t="s">
        <v>69</v>
      </c>
      <c r="C7" s="141">
        <v>50</v>
      </c>
      <c r="D7" s="108">
        <f>1.42/40*C7</f>
        <v>1.7749999999999999</v>
      </c>
      <c r="E7" s="141">
        <f>1/40*C7</f>
        <v>1.25</v>
      </c>
      <c r="F7" s="108">
        <f>18.2/40*C7</f>
        <v>22.749999999999996</v>
      </c>
      <c r="G7" s="141">
        <f>58.84/40*C7</f>
        <v>73.550000000000011</v>
      </c>
      <c r="H7" s="119"/>
      <c r="I7" s="118"/>
      <c r="J7" s="117"/>
    </row>
    <row r="8" spans="1:10" s="69" customFormat="1" x14ac:dyDescent="0.25">
      <c r="A8" s="172" t="s">
        <v>81</v>
      </c>
      <c r="B8" s="173" t="s">
        <v>43</v>
      </c>
      <c r="C8" s="174">
        <v>180</v>
      </c>
      <c r="D8" s="175">
        <f>2.8/100*C8</f>
        <v>5.0399999999999991</v>
      </c>
      <c r="E8" s="175">
        <f>2.7/100*C8</f>
        <v>4.8600000000000003</v>
      </c>
      <c r="F8" s="175">
        <f>11.5/100*C8</f>
        <v>20.7</v>
      </c>
      <c r="G8" s="175">
        <f>53.8/100*C8</f>
        <v>96.839999999999989</v>
      </c>
      <c r="H8" s="72"/>
      <c r="I8" s="71"/>
      <c r="J8" s="70"/>
    </row>
    <row r="9" spans="1:10" x14ac:dyDescent="0.25">
      <c r="A9" s="154" t="s">
        <v>18</v>
      </c>
      <c r="B9" s="152" t="s">
        <v>17</v>
      </c>
      <c r="C9" s="154">
        <v>200</v>
      </c>
      <c r="D9" s="153">
        <v>3.456</v>
      </c>
      <c r="E9" s="153">
        <v>3.7760000000000002</v>
      </c>
      <c r="F9" s="153">
        <v>13.283999999999999</v>
      </c>
      <c r="G9" s="153">
        <v>100.24000000000001</v>
      </c>
      <c r="H9" s="3"/>
      <c r="I9" s="2"/>
      <c r="J9" s="1"/>
    </row>
    <row r="10" spans="1:10" x14ac:dyDescent="0.25">
      <c r="A10" s="212" t="s">
        <v>20</v>
      </c>
      <c r="B10" s="213"/>
      <c r="C10" s="22">
        <f>SUM(C6:C9)</f>
        <v>580</v>
      </c>
      <c r="D10" s="22">
        <f t="shared" ref="D10:G10" si="0">SUM(D6:D9)</f>
        <v>21.085999999999999</v>
      </c>
      <c r="E10" s="23">
        <f t="shared" si="0"/>
        <v>20.460999999999999</v>
      </c>
      <c r="F10" s="23">
        <f t="shared" si="0"/>
        <v>89.808999999999997</v>
      </c>
      <c r="G10" s="23">
        <f t="shared" si="0"/>
        <v>635.13</v>
      </c>
      <c r="H10" s="3"/>
      <c r="I10" s="2" t="s">
        <v>8</v>
      </c>
      <c r="J10" s="1"/>
    </row>
    <row r="11" spans="1:10" x14ac:dyDescent="0.25">
      <c r="A11" s="243" t="s">
        <v>10</v>
      </c>
      <c r="B11" s="244"/>
      <c r="C11" s="244"/>
      <c r="D11" s="244"/>
      <c r="E11" s="244"/>
      <c r="F11" s="244"/>
      <c r="G11" s="244"/>
      <c r="H11" s="3"/>
      <c r="I11" s="2"/>
      <c r="J11" s="1"/>
    </row>
    <row r="12" spans="1:10" s="140" customFormat="1" x14ac:dyDescent="0.25">
      <c r="A12" s="129"/>
      <c r="B12" s="137" t="s">
        <v>110</v>
      </c>
      <c r="C12" s="138">
        <v>50</v>
      </c>
      <c r="D12" s="139">
        <f>0.44/30*C12</f>
        <v>0.73333333333333328</v>
      </c>
      <c r="E12" s="139">
        <f>2.84/30*C12</f>
        <v>4.7333333333333334</v>
      </c>
      <c r="F12" s="139">
        <f>3/30*C12</f>
        <v>5</v>
      </c>
      <c r="G12" s="139">
        <f>34.1/30*C12</f>
        <v>56.833333333333336</v>
      </c>
      <c r="H12" s="50"/>
      <c r="I12" s="51"/>
    </row>
    <row r="13" spans="1:10" ht="25.5" x14ac:dyDescent="0.25">
      <c r="A13" s="123" t="s">
        <v>40</v>
      </c>
      <c r="B13" s="43" t="s">
        <v>39</v>
      </c>
      <c r="C13" s="186">
        <v>250</v>
      </c>
      <c r="D13" s="81">
        <f>5.72/200*C13</f>
        <v>7.15</v>
      </c>
      <c r="E13" s="81">
        <f>7.5/200*C13</f>
        <v>9.375</v>
      </c>
      <c r="F13" s="82">
        <f>10/200*C13</f>
        <v>12.5</v>
      </c>
      <c r="G13" s="81">
        <f>131.6/200*C13</f>
        <v>164.49999999999997</v>
      </c>
      <c r="H13" s="3"/>
      <c r="I13" s="2"/>
      <c r="J13" s="1"/>
    </row>
    <row r="14" spans="1:10" ht="25.5" x14ac:dyDescent="0.25">
      <c r="A14" s="143" t="s">
        <v>79</v>
      </c>
      <c r="B14" s="33" t="s">
        <v>67</v>
      </c>
      <c r="C14" s="172">
        <v>200</v>
      </c>
      <c r="D14" s="109">
        <f>14.6/230*C14</f>
        <v>12.695652173913045</v>
      </c>
      <c r="E14" s="109">
        <f>18.1/230*C14</f>
        <v>15.739130434782611</v>
      </c>
      <c r="F14" s="109">
        <f>57.26/230*C14</f>
        <v>49.791304347826085</v>
      </c>
      <c r="G14" s="109">
        <f>404.47/230*C14</f>
        <v>351.71304347826089</v>
      </c>
      <c r="H14" s="3"/>
      <c r="I14" s="2"/>
      <c r="J14" s="1"/>
    </row>
    <row r="15" spans="1:10" x14ac:dyDescent="0.25">
      <c r="A15" s="18"/>
      <c r="B15" s="19" t="s">
        <v>7</v>
      </c>
      <c r="C15" s="93">
        <v>40</v>
      </c>
      <c r="D15" s="93">
        <f>C15*7.7/100</f>
        <v>3.08</v>
      </c>
      <c r="E15" s="95">
        <f>C15*0.8/100</f>
        <v>0.32</v>
      </c>
      <c r="F15" s="93">
        <f>C15*49.5/100</f>
        <v>19.8</v>
      </c>
      <c r="G15" s="95">
        <f t="shared" ref="G15:G16" si="1">F15*4+E15*9+D15*4</f>
        <v>94.4</v>
      </c>
      <c r="H15" s="3"/>
      <c r="I15" s="2"/>
      <c r="J15" s="1"/>
    </row>
    <row r="16" spans="1:10" x14ac:dyDescent="0.25">
      <c r="A16" s="18"/>
      <c r="B16" s="19" t="s">
        <v>14</v>
      </c>
      <c r="C16" s="18">
        <v>30</v>
      </c>
      <c r="D16" s="18">
        <f>C16*6.6/100</f>
        <v>1.98</v>
      </c>
      <c r="E16" s="18">
        <f>C16*1.1/100</f>
        <v>0.33</v>
      </c>
      <c r="F16" s="18">
        <f>C16*43.9/100</f>
        <v>13.17</v>
      </c>
      <c r="G16" s="18">
        <f t="shared" si="1"/>
        <v>63.57</v>
      </c>
      <c r="H16" s="3"/>
      <c r="I16" s="2"/>
      <c r="J16" s="1"/>
    </row>
    <row r="17" spans="1:10" x14ac:dyDescent="0.25">
      <c r="A17" s="93" t="s">
        <v>32</v>
      </c>
      <c r="B17" s="94" t="s">
        <v>15</v>
      </c>
      <c r="C17" s="168">
        <v>200</v>
      </c>
      <c r="D17" s="169">
        <f>0.6/200*C17</f>
        <v>0.6</v>
      </c>
      <c r="E17" s="170">
        <f>0/200*C17</f>
        <v>0</v>
      </c>
      <c r="F17" s="169">
        <f>31.4/200*C17</f>
        <v>31.4</v>
      </c>
      <c r="G17" s="170">
        <f>128/200*C17</f>
        <v>128</v>
      </c>
      <c r="H17" s="3"/>
      <c r="I17" s="2"/>
      <c r="J17" s="1"/>
    </row>
    <row r="18" spans="1:10" x14ac:dyDescent="0.25">
      <c r="A18" s="212" t="s">
        <v>21</v>
      </c>
      <c r="B18" s="213"/>
      <c r="C18" s="112">
        <f>SUM(C12:C17)</f>
        <v>770</v>
      </c>
      <c r="D18" s="23">
        <f t="shared" ref="D18:G18" si="2">SUM(D12:D17)</f>
        <v>26.23898550724638</v>
      </c>
      <c r="E18" s="23">
        <f t="shared" si="2"/>
        <v>30.497463768115942</v>
      </c>
      <c r="F18" s="23">
        <f t="shared" si="2"/>
        <v>131.66130434782607</v>
      </c>
      <c r="G18" s="23">
        <f t="shared" si="2"/>
        <v>859.01637681159423</v>
      </c>
      <c r="H18" s="3"/>
      <c r="I18" s="2"/>
      <c r="J18" s="1"/>
    </row>
    <row r="19" spans="1:10" x14ac:dyDescent="0.25">
      <c r="A19" s="210"/>
      <c r="B19" s="211"/>
      <c r="C19" s="211"/>
      <c r="D19" s="211"/>
      <c r="E19" s="211"/>
      <c r="F19" s="211"/>
      <c r="G19" s="211"/>
      <c r="H19" s="3"/>
      <c r="I19" s="2"/>
      <c r="J19" s="1"/>
    </row>
    <row r="20" spans="1:10" x14ac:dyDescent="0.25">
      <c r="A20" s="212" t="s">
        <v>19</v>
      </c>
      <c r="B20" s="213"/>
      <c r="C20" s="18"/>
      <c r="D20" s="23">
        <f t="shared" ref="D20:G20" si="3">D10+D18</f>
        <v>47.324985507246382</v>
      </c>
      <c r="E20" s="23">
        <f t="shared" si="3"/>
        <v>50.958463768115941</v>
      </c>
      <c r="F20" s="23">
        <f t="shared" si="3"/>
        <v>221.47030434782607</v>
      </c>
      <c r="G20" s="23">
        <f t="shared" si="3"/>
        <v>1494.1463768115941</v>
      </c>
      <c r="H20" s="3"/>
      <c r="I20" s="2"/>
      <c r="J20" s="1"/>
    </row>
  </sheetData>
  <mergeCells count="13">
    <mergeCell ref="A1:C1"/>
    <mergeCell ref="D1:G1"/>
    <mergeCell ref="D2:G2"/>
    <mergeCell ref="A20:B20"/>
    <mergeCell ref="A3:A4"/>
    <mergeCell ref="B3:B4"/>
    <mergeCell ref="C3:C4"/>
    <mergeCell ref="D3:F3"/>
    <mergeCell ref="A10:B10"/>
    <mergeCell ref="A11:G11"/>
    <mergeCell ref="A18:B18"/>
    <mergeCell ref="A19:G19"/>
    <mergeCell ref="G3:G4"/>
  </mergeCells>
  <pageMargins left="0.7" right="0.7" top="0.75" bottom="0.75" header="0.3" footer="0.3"/>
  <pageSetup paperSize="9" scale="92" orientation="landscape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view="pageBreakPreview" zoomScale="112" zoomScaleSheetLayoutView="112" workbookViewId="0">
      <selection activeCell="G16" sqref="G16"/>
    </sheetView>
  </sheetViews>
  <sheetFormatPr defaultRowHeight="15" x14ac:dyDescent="0.25"/>
  <cols>
    <col min="1" max="2" width="9.28515625" bestFit="1" customWidth="1"/>
    <col min="3" max="3" width="11" customWidth="1"/>
    <col min="4" max="4" width="11.85546875" customWidth="1"/>
  </cols>
  <sheetData>
    <row r="1" spans="1:4" s="69" customFormat="1" ht="40.5" customHeight="1" x14ac:dyDescent="0.25">
      <c r="A1" s="236" t="s">
        <v>73</v>
      </c>
      <c r="B1" s="236"/>
      <c r="C1" s="236"/>
      <c r="D1" s="236"/>
    </row>
    <row r="2" spans="1:4" ht="15.75" x14ac:dyDescent="0.25">
      <c r="A2" s="245" t="s">
        <v>6</v>
      </c>
      <c r="B2" s="245"/>
      <c r="C2" s="245"/>
      <c r="D2" s="246" t="s">
        <v>72</v>
      </c>
    </row>
    <row r="3" spans="1:4" ht="15.75" x14ac:dyDescent="0.25">
      <c r="A3" s="98" t="s">
        <v>3</v>
      </c>
      <c r="B3" s="98" t="s">
        <v>4</v>
      </c>
      <c r="C3" s="98" t="s">
        <v>5</v>
      </c>
      <c r="D3" s="246"/>
    </row>
    <row r="4" spans="1:4" ht="15.75" x14ac:dyDescent="0.25">
      <c r="A4" s="99">
        <f>('День 1'!D22+'День 2'!D21+'День 3'!D21+'День 4'!D21+'День 5'!D23+'День 6'!D20+'День 7'!D21+'День 8'!D20+'День 9'!D22+'День 10'!D22+'День 11'!D21+'День 12'!D20)/12</f>
        <v>50.806816223832527</v>
      </c>
      <c r="B4" s="99">
        <f>('День 1'!E22+'День 2'!E21+'День 3'!E21+'День 4'!E21+'День 5'!E23+'День 6'!E20+'День 7'!E21+'День 8'!E20+'День 9'!E22+'День 10'!E22+'День 11'!E21+'День 12'!E20)/12</f>
        <v>52.12923665458937</v>
      </c>
      <c r="C4" s="99">
        <f>('День 1'!F22+'День 2'!F21+'День 3'!F21+'День 4'!F21+'День 5'!F23+'День 6'!F20+'День 7'!F21+'День 8'!F20+'День 9'!F22+'День 10'!F22+'День 11'!F21+'День 12'!F20)/12</f>
        <v>221.0929642109501</v>
      </c>
      <c r="D4" s="99">
        <f>('День 1'!G22+'День 2'!G21+'День 3'!G21+'День 4'!G21+'День 5'!G23+'День 6'!G20+'День 7'!G21+'День 8'!G20+'День 9'!G22+'День 10'!G22+'День 11'!G21+'День 12'!G20)/12</f>
        <v>1551.0011356760187</v>
      </c>
    </row>
    <row r="5" spans="1:4" ht="15.75" x14ac:dyDescent="0.25">
      <c r="A5" s="99">
        <f>A4/B4</f>
        <v>0.97463188575886395</v>
      </c>
      <c r="B5" s="99">
        <f>B4/A4</f>
        <v>1.0260284058133231</v>
      </c>
      <c r="C5" s="100">
        <v>3.9</v>
      </c>
      <c r="D5" s="100"/>
    </row>
  </sheetData>
  <mergeCells count="3">
    <mergeCell ref="A2:C2"/>
    <mergeCell ref="D2:D3"/>
    <mergeCell ref="A1:D1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zoomScaleNormal="110" zoomScaleSheetLayoutView="100" workbookViewId="0">
      <selection activeCell="D13" sqref="D13"/>
    </sheetView>
  </sheetViews>
  <sheetFormatPr defaultRowHeight="15" x14ac:dyDescent="0.25"/>
  <cols>
    <col min="1" max="1" width="9.85546875" customWidth="1"/>
    <col min="2" max="2" width="27.85546875" customWidth="1"/>
    <col min="3" max="3" width="8" customWidth="1"/>
    <col min="4" max="4" width="7.7109375" customWidth="1"/>
    <col min="5" max="5" width="7" customWidth="1"/>
    <col min="7" max="7" width="8.85546875" customWidth="1"/>
  </cols>
  <sheetData>
    <row r="1" spans="1:11" ht="15.75" customHeight="1" x14ac:dyDescent="0.25">
      <c r="A1" s="216"/>
      <c r="B1" s="216"/>
      <c r="C1" s="216"/>
      <c r="D1" s="217"/>
      <c r="E1" s="217"/>
      <c r="F1" s="217"/>
      <c r="G1" s="217"/>
      <c r="H1" s="2"/>
      <c r="I1" s="2"/>
      <c r="J1" s="2"/>
      <c r="K1" s="1"/>
    </row>
    <row r="2" spans="1:11" ht="15.75" x14ac:dyDescent="0.25">
      <c r="A2" s="96" t="s">
        <v>97</v>
      </c>
      <c r="B2" s="191"/>
      <c r="C2" s="97"/>
      <c r="D2" s="218" t="s">
        <v>56</v>
      </c>
      <c r="E2" s="218"/>
      <c r="F2" s="218"/>
      <c r="G2" s="218"/>
      <c r="H2" s="2"/>
      <c r="I2" s="2"/>
      <c r="J2" s="2"/>
      <c r="K2" s="1"/>
    </row>
    <row r="3" spans="1:11" ht="15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  <c r="I3" s="2"/>
      <c r="J3" s="2"/>
      <c r="K3" s="1"/>
    </row>
    <row r="4" spans="1:1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3"/>
      <c r="I4" s="3"/>
      <c r="J4" s="2"/>
      <c r="K4" s="1"/>
    </row>
    <row r="5" spans="1:11" x14ac:dyDescent="0.25">
      <c r="A5" s="15"/>
      <c r="B5" s="16"/>
      <c r="C5" s="16"/>
      <c r="D5" s="16"/>
      <c r="E5" s="16"/>
      <c r="F5" s="17" t="s">
        <v>9</v>
      </c>
      <c r="G5" s="16"/>
      <c r="H5" s="3"/>
      <c r="I5" s="3"/>
      <c r="J5" s="2"/>
      <c r="K5" s="1"/>
    </row>
    <row r="6" spans="1:11" x14ac:dyDescent="0.25">
      <c r="A6" s="188" t="s">
        <v>79</v>
      </c>
      <c r="B6" s="189" t="s">
        <v>82</v>
      </c>
      <c r="C6" s="188">
        <v>200</v>
      </c>
      <c r="D6" s="160">
        <f>14.42/200*C6</f>
        <v>14.42</v>
      </c>
      <c r="E6" s="160">
        <f>14.1/200*C6</f>
        <v>14.099999999999998</v>
      </c>
      <c r="F6" s="190">
        <f>44.1/200*C6</f>
        <v>44.1</v>
      </c>
      <c r="G6" s="182">
        <f>486/200*C6</f>
        <v>486.00000000000006</v>
      </c>
      <c r="H6" s="3"/>
      <c r="I6" s="3"/>
      <c r="J6" s="2"/>
      <c r="K6" s="1"/>
    </row>
    <row r="7" spans="1:11" s="34" customFormat="1" x14ac:dyDescent="0.25">
      <c r="A7" s="113" t="s">
        <v>81</v>
      </c>
      <c r="B7" s="47" t="s">
        <v>69</v>
      </c>
      <c r="C7" s="46">
        <v>50</v>
      </c>
      <c r="D7" s="108">
        <f>1.42/40*C7</f>
        <v>1.7749999999999999</v>
      </c>
      <c r="E7" s="46">
        <f>1/40*C7</f>
        <v>1.25</v>
      </c>
      <c r="F7" s="108">
        <f>18.2/40*C7</f>
        <v>22.749999999999996</v>
      </c>
      <c r="G7" s="46">
        <f>58.84/40*C7</f>
        <v>73.550000000000011</v>
      </c>
      <c r="H7" s="37"/>
      <c r="I7" s="37"/>
      <c r="J7" s="36"/>
      <c r="K7" s="35"/>
    </row>
    <row r="8" spans="1:11" s="69" customFormat="1" x14ac:dyDescent="0.25">
      <c r="A8" s="160" t="s">
        <v>81</v>
      </c>
      <c r="B8" s="159" t="s">
        <v>28</v>
      </c>
      <c r="C8" s="160">
        <v>100</v>
      </c>
      <c r="D8" s="171">
        <f>1.5/100*C8</f>
        <v>1.5</v>
      </c>
      <c r="E8" s="171">
        <f>2.5/100*C8</f>
        <v>2.5</v>
      </c>
      <c r="F8" s="171">
        <f>11/100*C8</f>
        <v>11</v>
      </c>
      <c r="G8" s="171">
        <f>54.5/100*C8</f>
        <v>54.500000000000007</v>
      </c>
      <c r="H8" s="72"/>
      <c r="I8" s="72"/>
      <c r="J8" s="71"/>
      <c r="K8" s="70"/>
    </row>
    <row r="9" spans="1:11" x14ac:dyDescent="0.25">
      <c r="A9" s="154" t="s">
        <v>18</v>
      </c>
      <c r="B9" s="152" t="s">
        <v>17</v>
      </c>
      <c r="C9" s="154">
        <v>200</v>
      </c>
      <c r="D9" s="153">
        <v>3.456</v>
      </c>
      <c r="E9" s="153">
        <v>3.7760000000000002</v>
      </c>
      <c r="F9" s="153">
        <v>13.283999999999999</v>
      </c>
      <c r="G9" s="153">
        <v>100.24000000000001</v>
      </c>
      <c r="H9" s="3"/>
      <c r="I9" s="3"/>
      <c r="J9" s="2"/>
      <c r="K9" s="1"/>
    </row>
    <row r="10" spans="1:11" x14ac:dyDescent="0.25">
      <c r="A10" s="212" t="s">
        <v>20</v>
      </c>
      <c r="B10" s="213"/>
      <c r="C10" s="22">
        <f>SUM(C6:C9)</f>
        <v>550</v>
      </c>
      <c r="D10" s="23">
        <f>SUM(D6:D9)</f>
        <v>21.151</v>
      </c>
      <c r="E10" s="22">
        <f>SUM(E6:E9)</f>
        <v>21.625999999999998</v>
      </c>
      <c r="F10" s="23">
        <f>SUM(F6:F9)</f>
        <v>91.133999999999986</v>
      </c>
      <c r="G10" s="23">
        <f>SUM(G6:G9)</f>
        <v>714.29000000000008</v>
      </c>
      <c r="H10" s="3"/>
      <c r="I10" s="3"/>
      <c r="J10" s="2"/>
      <c r="K10" s="1"/>
    </row>
    <row r="11" spans="1:11" x14ac:dyDescent="0.25">
      <c r="A11" s="212" t="s">
        <v>10</v>
      </c>
      <c r="B11" s="214"/>
      <c r="C11" s="214"/>
      <c r="D11" s="214"/>
      <c r="E11" s="214"/>
      <c r="F11" s="214"/>
      <c r="G11" s="214"/>
      <c r="H11" s="3"/>
      <c r="I11" s="3"/>
      <c r="J11" s="2"/>
      <c r="K11" s="1"/>
    </row>
    <row r="12" spans="1:11" x14ac:dyDescent="0.25">
      <c r="A12" s="18"/>
      <c r="B12" s="19" t="s">
        <v>22</v>
      </c>
      <c r="C12" s="18">
        <v>70</v>
      </c>
      <c r="D12" s="77">
        <f>C12*3.7/100</f>
        <v>2.59</v>
      </c>
      <c r="E12" s="77">
        <f>C12*0.1/100</f>
        <v>7.0000000000000007E-2</v>
      </c>
      <c r="F12" s="77">
        <f>C12*1.9/100</f>
        <v>1.33</v>
      </c>
      <c r="G12" s="77">
        <f t="shared" ref="G12:G18" si="0">F12*4+E12*9+D12*4</f>
        <v>16.309999999999999</v>
      </c>
      <c r="H12" s="3"/>
      <c r="I12" s="3"/>
      <c r="J12" s="2"/>
      <c r="K12" s="1"/>
    </row>
    <row r="13" spans="1:11" ht="24" customHeight="1" x14ac:dyDescent="0.25">
      <c r="A13" s="18" t="s">
        <v>40</v>
      </c>
      <c r="B13" s="24" t="s">
        <v>39</v>
      </c>
      <c r="C13" s="80">
        <v>200</v>
      </c>
      <c r="D13" s="81">
        <v>5.72</v>
      </c>
      <c r="E13" s="81">
        <v>7.5</v>
      </c>
      <c r="F13" s="82">
        <v>10</v>
      </c>
      <c r="G13" s="81">
        <v>131.6</v>
      </c>
      <c r="H13" s="3"/>
      <c r="I13" s="3"/>
      <c r="J13" s="2"/>
      <c r="K13" s="9"/>
    </row>
    <row r="14" spans="1:11" x14ac:dyDescent="0.25">
      <c r="A14" s="168" t="s">
        <v>42</v>
      </c>
      <c r="B14" s="150" t="s">
        <v>41</v>
      </c>
      <c r="C14" s="168">
        <v>180</v>
      </c>
      <c r="D14" s="169">
        <f>3.75/150*C14</f>
        <v>4.5</v>
      </c>
      <c r="E14" s="169">
        <f>3.15/150*C14</f>
        <v>3.78</v>
      </c>
      <c r="F14" s="169">
        <f>35.25/150*C14</f>
        <v>42.3</v>
      </c>
      <c r="G14" s="169">
        <f>184.35/150*C14</f>
        <v>221.21999999999997</v>
      </c>
      <c r="H14" s="3"/>
      <c r="I14" s="3"/>
      <c r="J14" s="2"/>
      <c r="K14" s="1"/>
    </row>
    <row r="15" spans="1:11" x14ac:dyDescent="0.25">
      <c r="A15" s="160" t="s">
        <v>79</v>
      </c>
      <c r="B15" s="159" t="s">
        <v>99</v>
      </c>
      <c r="C15" s="160">
        <v>90</v>
      </c>
      <c r="D15" s="192">
        <f>12.91/100*C15</f>
        <v>11.619</v>
      </c>
      <c r="E15" s="192">
        <f>19.158/100*C15</f>
        <v>17.2422</v>
      </c>
      <c r="F15" s="192">
        <f>29.938/100*C15</f>
        <v>26.944199999999999</v>
      </c>
      <c r="G15" s="192">
        <f>380.54/100*C15</f>
        <v>342.48599999999999</v>
      </c>
      <c r="H15" s="3"/>
      <c r="I15" s="3"/>
      <c r="J15" s="2"/>
      <c r="K15" s="1"/>
    </row>
    <row r="16" spans="1:11" x14ac:dyDescent="0.25">
      <c r="A16" s="18"/>
      <c r="B16" s="19" t="s">
        <v>7</v>
      </c>
      <c r="C16" s="93">
        <v>30</v>
      </c>
      <c r="D16" s="93">
        <f>C16*7.7/100</f>
        <v>2.31</v>
      </c>
      <c r="E16" s="95">
        <f>C16*0.8/100</f>
        <v>0.24</v>
      </c>
      <c r="F16" s="93">
        <f>C16*49.5/100</f>
        <v>14.85</v>
      </c>
      <c r="G16" s="95">
        <f t="shared" ref="G16:G17" si="1">F16*4+E16*9+D16*4</f>
        <v>70.8</v>
      </c>
      <c r="H16" s="3"/>
      <c r="I16" s="3"/>
      <c r="J16" s="2"/>
      <c r="K16" s="1"/>
    </row>
    <row r="17" spans="1:11" x14ac:dyDescent="0.25">
      <c r="A17" s="18"/>
      <c r="B17" s="19" t="s">
        <v>14</v>
      </c>
      <c r="C17" s="93">
        <v>30</v>
      </c>
      <c r="D17" s="93">
        <f>C17*6.6/100</f>
        <v>1.98</v>
      </c>
      <c r="E17" s="93">
        <f>C17*1.1/100</f>
        <v>0.33</v>
      </c>
      <c r="F17" s="93">
        <f>C17*43.9/100</f>
        <v>13.17</v>
      </c>
      <c r="G17" s="93">
        <f t="shared" si="1"/>
        <v>63.57</v>
      </c>
      <c r="H17" s="3"/>
      <c r="I17" s="3"/>
      <c r="J17" s="2"/>
      <c r="K17" s="1"/>
    </row>
    <row r="18" spans="1:11" x14ac:dyDescent="0.25">
      <c r="A18" s="18" t="s">
        <v>27</v>
      </c>
      <c r="B18" s="19" t="s">
        <v>26</v>
      </c>
      <c r="C18" s="18">
        <v>200</v>
      </c>
      <c r="D18" s="20">
        <f>0.3/200*C18</f>
        <v>0.3</v>
      </c>
      <c r="E18" s="21">
        <f>0/200*C18</f>
        <v>0</v>
      </c>
      <c r="F18" s="20">
        <f>15.2/200*C18</f>
        <v>15.2</v>
      </c>
      <c r="G18" s="20">
        <f t="shared" si="0"/>
        <v>62</v>
      </c>
      <c r="H18" s="3"/>
      <c r="I18" s="3"/>
      <c r="J18" s="2"/>
      <c r="K18" s="1"/>
    </row>
    <row r="19" spans="1:11" x14ac:dyDescent="0.25">
      <c r="A19" s="212" t="s">
        <v>21</v>
      </c>
      <c r="B19" s="213"/>
      <c r="C19" s="102">
        <f t="shared" ref="C19:F19" si="2">SUM(C12:C18)</f>
        <v>800</v>
      </c>
      <c r="D19" s="22">
        <f t="shared" si="2"/>
        <v>29.018999999999998</v>
      </c>
      <c r="E19" s="23">
        <f t="shared" si="2"/>
        <v>29.162199999999995</v>
      </c>
      <c r="F19" s="23">
        <f t="shared" si="2"/>
        <v>123.79419999999999</v>
      </c>
      <c r="G19" s="23">
        <f>SUM(G12:G18)</f>
        <v>907.98599999999999</v>
      </c>
      <c r="H19" s="3"/>
      <c r="I19" s="3"/>
      <c r="J19" s="2"/>
      <c r="K19" s="1"/>
    </row>
    <row r="20" spans="1:11" x14ac:dyDescent="0.25">
      <c r="A20" s="210"/>
      <c r="B20" s="211"/>
      <c r="C20" s="211"/>
      <c r="D20" s="211"/>
      <c r="E20" s="211"/>
      <c r="F20" s="211"/>
      <c r="G20" s="211"/>
      <c r="H20" s="3"/>
      <c r="I20" s="3"/>
      <c r="J20" s="2"/>
      <c r="K20" s="1"/>
    </row>
    <row r="21" spans="1:11" x14ac:dyDescent="0.25">
      <c r="A21" s="212" t="s">
        <v>19</v>
      </c>
      <c r="B21" s="213"/>
      <c r="C21" s="18"/>
      <c r="D21" s="23">
        <f t="shared" ref="D21:G21" si="3">D10+D19</f>
        <v>50.17</v>
      </c>
      <c r="E21" s="23">
        <f t="shared" si="3"/>
        <v>50.788199999999989</v>
      </c>
      <c r="F21" s="23">
        <f t="shared" si="3"/>
        <v>214.92819999999998</v>
      </c>
      <c r="G21" s="23">
        <f t="shared" si="3"/>
        <v>1622.2760000000001</v>
      </c>
      <c r="H21" s="3"/>
      <c r="I21" s="3"/>
      <c r="J21" s="2"/>
      <c r="K21" s="1"/>
    </row>
  </sheetData>
  <mergeCells count="13">
    <mergeCell ref="D2:G2"/>
    <mergeCell ref="D1:G1"/>
    <mergeCell ref="A1:C1"/>
    <mergeCell ref="A21:B21"/>
    <mergeCell ref="A3:A4"/>
    <mergeCell ref="B3:B4"/>
    <mergeCell ref="C3:C4"/>
    <mergeCell ref="D3:F3"/>
    <mergeCell ref="A10:B10"/>
    <mergeCell ref="A11:G11"/>
    <mergeCell ref="A19:B19"/>
    <mergeCell ref="A20:G20"/>
    <mergeCell ref="G3:G4"/>
  </mergeCells>
  <pageMargins left="0.7" right="0.7" top="0.75" bottom="0.75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view="pageBreakPreview" zoomScaleNormal="110" zoomScaleSheetLayoutView="100" workbookViewId="0">
      <selection activeCell="C14" sqref="C14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8.7109375" customWidth="1"/>
  </cols>
  <sheetData>
    <row r="1" spans="1:24" ht="15.75" x14ac:dyDescent="0.25">
      <c r="A1" s="216"/>
      <c r="B1" s="216"/>
      <c r="C1" s="216"/>
      <c r="D1" s="217"/>
      <c r="E1" s="217"/>
      <c r="F1" s="217"/>
      <c r="G1" s="217"/>
    </row>
    <row r="2" spans="1:24" ht="15.75" x14ac:dyDescent="0.25">
      <c r="A2" s="96" t="s">
        <v>96</v>
      </c>
      <c r="B2" s="96"/>
      <c r="C2" s="97"/>
      <c r="D2" s="218" t="s">
        <v>58</v>
      </c>
      <c r="E2" s="218"/>
      <c r="F2" s="218"/>
      <c r="G2" s="218"/>
    </row>
    <row r="3" spans="1:24" ht="15" customHeight="1" x14ac:dyDescent="0.25">
      <c r="A3" s="226" t="s">
        <v>0</v>
      </c>
      <c r="B3" s="226" t="s">
        <v>1</v>
      </c>
      <c r="C3" s="228" t="s">
        <v>2</v>
      </c>
      <c r="D3" s="212" t="s">
        <v>6</v>
      </c>
      <c r="E3" s="214"/>
      <c r="F3" s="213"/>
      <c r="G3" s="221" t="s">
        <v>72</v>
      </c>
    </row>
    <row r="4" spans="1:24" x14ac:dyDescent="0.25">
      <c r="A4" s="227"/>
      <c r="B4" s="227"/>
      <c r="C4" s="229"/>
      <c r="D4" s="22" t="s">
        <v>3</v>
      </c>
      <c r="E4" s="22" t="s">
        <v>4</v>
      </c>
      <c r="F4" s="22" t="s">
        <v>5</v>
      </c>
      <c r="G4" s="222"/>
    </row>
    <row r="5" spans="1:24" x14ac:dyDescent="0.25">
      <c r="A5" s="15"/>
      <c r="B5" s="16"/>
      <c r="C5" s="16"/>
      <c r="D5" s="16"/>
      <c r="E5" s="16"/>
      <c r="F5" s="17" t="s">
        <v>9</v>
      </c>
      <c r="G5" s="16"/>
      <c r="H5" s="2"/>
      <c r="I5" s="2"/>
      <c r="J5" s="2"/>
      <c r="K5" s="1"/>
    </row>
    <row r="6" spans="1:24" ht="25.5" x14ac:dyDescent="0.25">
      <c r="A6" s="18" t="s">
        <v>79</v>
      </c>
      <c r="B6" s="24" t="s">
        <v>100</v>
      </c>
      <c r="C6" s="18">
        <v>250</v>
      </c>
      <c r="D6" s="20">
        <v>11</v>
      </c>
      <c r="E6" s="20">
        <v>8.52</v>
      </c>
      <c r="F6" s="20">
        <v>24.55</v>
      </c>
      <c r="G6" s="20">
        <v>211.5</v>
      </c>
      <c r="H6" s="3"/>
      <c r="I6" s="3"/>
      <c r="J6" s="2"/>
      <c r="K6" s="1"/>
    </row>
    <row r="7" spans="1:24" x14ac:dyDescent="0.25">
      <c r="A7" s="148" t="s">
        <v>54</v>
      </c>
      <c r="B7" s="147" t="s">
        <v>55</v>
      </c>
      <c r="C7" s="148">
        <v>40</v>
      </c>
      <c r="D7" s="149">
        <f>2.45/40*C7</f>
        <v>2.4500000000000002</v>
      </c>
      <c r="E7" s="149">
        <f>8.55/40*C7</f>
        <v>8.5500000000000007</v>
      </c>
      <c r="F7" s="149">
        <f>14.62/40*C7</f>
        <v>14.62</v>
      </c>
      <c r="G7" s="149">
        <f>145/40*C7</f>
        <v>145</v>
      </c>
      <c r="H7" s="3"/>
      <c r="I7" s="3"/>
      <c r="J7" s="2"/>
      <c r="K7" s="1"/>
    </row>
    <row r="8" spans="1:24" s="69" customFormat="1" x14ac:dyDescent="0.25">
      <c r="A8" s="172" t="s">
        <v>81</v>
      </c>
      <c r="B8" s="173" t="s">
        <v>43</v>
      </c>
      <c r="C8" s="174">
        <v>150</v>
      </c>
      <c r="D8" s="175">
        <f>2.8/100*C8</f>
        <v>4.1999999999999993</v>
      </c>
      <c r="E8" s="175">
        <f>2.7/100*C8</f>
        <v>4.0500000000000007</v>
      </c>
      <c r="F8" s="175">
        <f>11.5/100*C8</f>
        <v>17.25</v>
      </c>
      <c r="G8" s="175">
        <f>74.8/100*C8</f>
        <v>112.2</v>
      </c>
      <c r="H8" s="72"/>
      <c r="I8" s="72"/>
      <c r="J8" s="71"/>
      <c r="K8" s="70"/>
    </row>
    <row r="9" spans="1:24" s="38" customFormat="1" x14ac:dyDescent="0.25">
      <c r="A9" s="49" t="s">
        <v>63</v>
      </c>
      <c r="B9" s="94" t="s">
        <v>7</v>
      </c>
      <c r="C9" s="93">
        <v>50</v>
      </c>
      <c r="D9" s="93">
        <f>C9*7.7/100</f>
        <v>3.85</v>
      </c>
      <c r="E9" s="95">
        <f>C9*0.8/100</f>
        <v>0.4</v>
      </c>
      <c r="F9" s="93">
        <f>C9*49.5/100</f>
        <v>24.75</v>
      </c>
      <c r="G9" s="95">
        <f t="shared" ref="G9" si="0">F9*4+E9*9+D9*4</f>
        <v>118</v>
      </c>
      <c r="H9" s="119"/>
      <c r="I9" s="119"/>
      <c r="J9" s="118"/>
      <c r="K9" s="117"/>
      <c r="L9" s="117"/>
      <c r="M9" s="117"/>
      <c r="N9" s="117"/>
      <c r="O9" s="117"/>
      <c r="P9" s="117"/>
      <c r="Q9" s="117"/>
      <c r="R9" s="117"/>
      <c r="S9" s="130"/>
    </row>
    <row r="10" spans="1:24" x14ac:dyDescent="0.25">
      <c r="A10" s="42" t="s">
        <v>45</v>
      </c>
      <c r="B10" s="48" t="s">
        <v>30</v>
      </c>
      <c r="C10" s="42">
        <v>200</v>
      </c>
      <c r="D10" s="44">
        <f>0.2/200*C10</f>
        <v>0.2</v>
      </c>
      <c r="E10" s="45">
        <f>0/200*C10</f>
        <v>0</v>
      </c>
      <c r="F10" s="44">
        <f>14/200*C10</f>
        <v>14.000000000000002</v>
      </c>
      <c r="G10" s="44">
        <f>F10*4+E10*9+D10*4</f>
        <v>56.800000000000004</v>
      </c>
      <c r="H10" s="3"/>
      <c r="I10" s="3"/>
      <c r="J10" s="2"/>
      <c r="K10" s="1"/>
    </row>
    <row r="11" spans="1:24" x14ac:dyDescent="0.25">
      <c r="A11" s="212" t="s">
        <v>20</v>
      </c>
      <c r="B11" s="213"/>
      <c r="C11" s="22">
        <f>SUM(C6:C10)</f>
        <v>690</v>
      </c>
      <c r="D11" s="23">
        <f t="shared" ref="D11:G11" si="1">SUM(D6:D10)</f>
        <v>21.7</v>
      </c>
      <c r="E11" s="22">
        <f t="shared" si="1"/>
        <v>21.52</v>
      </c>
      <c r="F11" s="23">
        <f t="shared" si="1"/>
        <v>95.17</v>
      </c>
      <c r="G11" s="23">
        <f t="shared" si="1"/>
        <v>643.5</v>
      </c>
      <c r="H11" s="3"/>
      <c r="I11" s="3"/>
      <c r="J11" s="2" t="s">
        <v>8</v>
      </c>
      <c r="K11" s="1"/>
    </row>
    <row r="12" spans="1:24" x14ac:dyDescent="0.25">
      <c r="A12" s="212" t="s">
        <v>10</v>
      </c>
      <c r="B12" s="214"/>
      <c r="C12" s="214"/>
      <c r="D12" s="214"/>
      <c r="E12" s="214"/>
      <c r="F12" s="214"/>
      <c r="G12" s="214"/>
      <c r="H12" s="3"/>
      <c r="I12" s="3"/>
      <c r="J12" s="2"/>
      <c r="K12" s="1"/>
    </row>
    <row r="13" spans="1:24" ht="33" customHeight="1" x14ac:dyDescent="0.25">
      <c r="A13" s="114" t="s">
        <v>84</v>
      </c>
      <c r="B13" s="150" t="s">
        <v>88</v>
      </c>
      <c r="C13" s="18">
        <v>60</v>
      </c>
      <c r="D13" s="20">
        <f>1.8/80*C13</f>
        <v>1.3499999999999999</v>
      </c>
      <c r="E13" s="20">
        <f>8.7/80*C13</f>
        <v>6.5249999999999995</v>
      </c>
      <c r="F13" s="20">
        <f>2.8/80*C13</f>
        <v>2.0999999999999996</v>
      </c>
      <c r="G13" s="20">
        <f>98/80*C13</f>
        <v>73.5</v>
      </c>
      <c r="H13" s="3"/>
      <c r="I13" s="3"/>
      <c r="J13" s="2"/>
      <c r="K13" s="1"/>
    </row>
    <row r="14" spans="1:24" x14ac:dyDescent="0.25">
      <c r="A14" s="18" t="s">
        <v>24</v>
      </c>
      <c r="B14" s="19" t="s">
        <v>23</v>
      </c>
      <c r="C14" s="18">
        <v>250</v>
      </c>
      <c r="D14" s="20">
        <v>6.2</v>
      </c>
      <c r="E14" s="20">
        <v>3.6</v>
      </c>
      <c r="F14" s="20">
        <v>22.3</v>
      </c>
      <c r="G14" s="20">
        <v>186.4</v>
      </c>
      <c r="H14" s="3"/>
      <c r="I14" s="3"/>
      <c r="J14" s="2"/>
      <c r="K14" s="1"/>
    </row>
    <row r="15" spans="1:24" ht="25.5" x14ac:dyDescent="0.25">
      <c r="A15" s="151" t="s">
        <v>79</v>
      </c>
      <c r="B15" s="33" t="s">
        <v>67</v>
      </c>
      <c r="C15" s="151">
        <v>200</v>
      </c>
      <c r="D15" s="109">
        <f>15.9/230*C15</f>
        <v>13.826086956521738</v>
      </c>
      <c r="E15" s="109">
        <f>18.8/230*C15</f>
        <v>16.34782608695652</v>
      </c>
      <c r="F15" s="109">
        <f>68.26/230*C15</f>
        <v>59.356521739130443</v>
      </c>
      <c r="G15" s="109">
        <f>439.47/230*C15</f>
        <v>382.14782608695657</v>
      </c>
      <c r="H15" s="3"/>
      <c r="I15" s="3"/>
      <c r="J15" s="134"/>
      <c r="K15" s="134"/>
      <c r="L15" s="135"/>
      <c r="M15" s="6"/>
      <c r="N15" s="6"/>
      <c r="O15" s="6"/>
      <c r="P15" s="135"/>
      <c r="Q15" s="6"/>
      <c r="R15" s="6"/>
      <c r="S15" s="6"/>
      <c r="T15" s="6"/>
      <c r="U15" s="6"/>
      <c r="V15" s="6"/>
      <c r="W15" s="6"/>
      <c r="X15" s="6"/>
    </row>
    <row r="16" spans="1:24" x14ac:dyDescent="0.25">
      <c r="A16" s="18"/>
      <c r="B16" s="19" t="s">
        <v>7</v>
      </c>
      <c r="C16" s="18">
        <v>30</v>
      </c>
      <c r="D16" s="18">
        <f>C16*7.7/100</f>
        <v>2.31</v>
      </c>
      <c r="E16" s="20">
        <f>C16*0.8/100</f>
        <v>0.24</v>
      </c>
      <c r="F16" s="18">
        <f>C16*49.5/100</f>
        <v>14.85</v>
      </c>
      <c r="G16" s="20">
        <f t="shared" ref="G16:G17" si="2">F16*4+E16*9+D16*4</f>
        <v>70.8</v>
      </c>
      <c r="H16" s="3"/>
      <c r="I16" s="3"/>
      <c r="J16" s="2"/>
      <c r="K16" s="1"/>
    </row>
    <row r="17" spans="1:11" x14ac:dyDescent="0.25">
      <c r="A17" s="18"/>
      <c r="B17" s="19" t="s">
        <v>14</v>
      </c>
      <c r="C17" s="18">
        <v>30</v>
      </c>
      <c r="D17" s="18">
        <f>C17*6.6/100</f>
        <v>1.98</v>
      </c>
      <c r="E17" s="18">
        <f>C17*1.1/100</f>
        <v>0.33</v>
      </c>
      <c r="F17" s="18">
        <f>C17*43.9/100</f>
        <v>13.17</v>
      </c>
      <c r="G17" s="18">
        <f t="shared" si="2"/>
        <v>63.57</v>
      </c>
      <c r="H17" s="3"/>
      <c r="I17" s="3"/>
      <c r="J17" s="2"/>
      <c r="K17" s="1"/>
    </row>
    <row r="18" spans="1:11" x14ac:dyDescent="0.25">
      <c r="A18" s="120" t="s">
        <v>31</v>
      </c>
      <c r="B18" s="121" t="s">
        <v>29</v>
      </c>
      <c r="C18" s="120">
        <v>200</v>
      </c>
      <c r="D18" s="122">
        <v>3.8719999999999999</v>
      </c>
      <c r="E18" s="122">
        <v>3.8000000000000003</v>
      </c>
      <c r="F18" s="122">
        <v>13.092000000000001</v>
      </c>
      <c r="G18" s="122">
        <v>101.88</v>
      </c>
      <c r="H18" s="3"/>
      <c r="I18" s="3"/>
      <c r="J18" s="2"/>
      <c r="K18" s="1"/>
    </row>
    <row r="19" spans="1:11" x14ac:dyDescent="0.25">
      <c r="A19" s="212" t="s">
        <v>21</v>
      </c>
      <c r="B19" s="213"/>
      <c r="C19" s="102">
        <f t="shared" ref="C19:G19" si="3">SUM(C13:C18)</f>
        <v>770</v>
      </c>
      <c r="D19" s="23">
        <f>SUM(D13:D18)</f>
        <v>29.538086956521738</v>
      </c>
      <c r="E19" s="23">
        <f t="shared" si="3"/>
        <v>30.842826086956517</v>
      </c>
      <c r="F19" s="23">
        <f>SUM(F13:F18)</f>
        <v>124.86852173913044</v>
      </c>
      <c r="G19" s="23">
        <f t="shared" si="3"/>
        <v>878.29782608695655</v>
      </c>
      <c r="H19" s="3"/>
      <c r="I19" s="3"/>
      <c r="J19" s="2"/>
      <c r="K19" s="1"/>
    </row>
    <row r="20" spans="1:11" x14ac:dyDescent="0.25">
      <c r="A20" s="210"/>
      <c r="B20" s="211"/>
      <c r="C20" s="211"/>
      <c r="D20" s="211"/>
      <c r="E20" s="211"/>
      <c r="F20" s="211"/>
      <c r="G20" s="211"/>
      <c r="H20" s="3"/>
      <c r="I20" s="3"/>
      <c r="J20" s="2"/>
      <c r="K20" s="1"/>
    </row>
    <row r="21" spans="1:11" x14ac:dyDescent="0.25">
      <c r="A21" s="212" t="s">
        <v>19</v>
      </c>
      <c r="B21" s="213"/>
      <c r="C21" s="18"/>
      <c r="D21" s="23">
        <f t="shared" ref="D21:G21" si="4">D11+D19</f>
        <v>51.238086956521741</v>
      </c>
      <c r="E21" s="23">
        <f t="shared" si="4"/>
        <v>52.362826086956517</v>
      </c>
      <c r="F21" s="23">
        <f t="shared" si="4"/>
        <v>220.03852173913043</v>
      </c>
      <c r="G21" s="23">
        <f t="shared" si="4"/>
        <v>1521.7978260869565</v>
      </c>
      <c r="H21" s="3"/>
      <c r="I21" s="3"/>
      <c r="J21" s="2"/>
      <c r="K21" s="1"/>
    </row>
  </sheetData>
  <mergeCells count="13">
    <mergeCell ref="A1:C1"/>
    <mergeCell ref="D1:G1"/>
    <mergeCell ref="D2:G2"/>
    <mergeCell ref="A3:A4"/>
    <mergeCell ref="B3:B4"/>
    <mergeCell ref="C3:C4"/>
    <mergeCell ref="D3:F3"/>
    <mergeCell ref="G3:G4"/>
    <mergeCell ref="A11:B11"/>
    <mergeCell ref="A12:G12"/>
    <mergeCell ref="A19:B19"/>
    <mergeCell ref="A20:G20"/>
    <mergeCell ref="A21:B21"/>
  </mergeCells>
  <pageMargins left="0.7" right="0.7" top="0.75" bottom="0.75" header="0.3" footer="0.3"/>
  <pageSetup paperSize="9" scale="91" orientation="landscape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Normal="110" zoomScaleSheetLayoutView="100" workbookViewId="0">
      <selection activeCell="A18" sqref="A18:G18"/>
    </sheetView>
  </sheetViews>
  <sheetFormatPr defaultRowHeight="15" x14ac:dyDescent="0.25"/>
  <cols>
    <col min="1" max="1" width="9.85546875" customWidth="1"/>
    <col min="2" max="2" width="26.42578125" customWidth="1"/>
    <col min="3" max="3" width="6.85546875" customWidth="1"/>
    <col min="4" max="4" width="7.7109375" customWidth="1"/>
    <col min="5" max="5" width="7" customWidth="1"/>
    <col min="7" max="7" width="8.5703125" customWidth="1"/>
  </cols>
  <sheetData>
    <row r="1" spans="1:16" ht="15.75" x14ac:dyDescent="0.25">
      <c r="A1" s="216"/>
      <c r="B1" s="216"/>
      <c r="C1" s="216"/>
      <c r="D1" s="217"/>
      <c r="E1" s="217"/>
      <c r="F1" s="217"/>
      <c r="G1" s="217"/>
    </row>
    <row r="2" spans="1:16" ht="15.75" x14ac:dyDescent="0.25">
      <c r="A2" s="96" t="s">
        <v>96</v>
      </c>
      <c r="B2" s="96"/>
      <c r="C2" s="97"/>
      <c r="D2" s="218" t="s">
        <v>59</v>
      </c>
      <c r="E2" s="218"/>
      <c r="F2" s="218"/>
      <c r="G2" s="218"/>
    </row>
    <row r="3" spans="1:16" ht="15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</row>
    <row r="4" spans="1:16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</row>
    <row r="5" spans="1:16" ht="18" customHeight="1" x14ac:dyDescent="0.25">
      <c r="A5" s="15"/>
      <c r="B5" s="16"/>
      <c r="C5" s="16"/>
      <c r="D5" s="16"/>
      <c r="E5" s="16"/>
      <c r="F5" s="17" t="s">
        <v>9</v>
      </c>
      <c r="G5" s="16"/>
      <c r="H5" s="2"/>
      <c r="I5" s="2"/>
      <c r="J5" s="2"/>
      <c r="K5" s="1"/>
    </row>
    <row r="6" spans="1:16" ht="25.5" x14ac:dyDescent="0.25">
      <c r="A6" s="116" t="s">
        <v>34</v>
      </c>
      <c r="B6" s="176" t="s">
        <v>33</v>
      </c>
      <c r="C6" s="116">
        <v>200</v>
      </c>
      <c r="D6" s="116">
        <f>C6*3.4/100</f>
        <v>6.8</v>
      </c>
      <c r="E6" s="115">
        <f>C6*4.5/100</f>
        <v>9</v>
      </c>
      <c r="F6" s="115">
        <f>C6*16.6/100</f>
        <v>33.200000000000003</v>
      </c>
      <c r="G6" s="115">
        <f>241/200*C6</f>
        <v>241</v>
      </c>
      <c r="H6" s="2"/>
      <c r="I6" s="2"/>
      <c r="J6" s="2"/>
      <c r="K6" s="1"/>
    </row>
    <row r="7" spans="1:16" x14ac:dyDescent="0.25">
      <c r="A7" s="158" t="s">
        <v>79</v>
      </c>
      <c r="B7" s="159" t="s">
        <v>38</v>
      </c>
      <c r="C7" s="160">
        <v>40</v>
      </c>
      <c r="D7" s="171">
        <f>5.875/50*C7</f>
        <v>4.6999999999999993</v>
      </c>
      <c r="E7" s="171">
        <f>8.85/50*C7</f>
        <v>7.08</v>
      </c>
      <c r="F7" s="171">
        <f>14.53/50*C7</f>
        <v>11.623999999999999</v>
      </c>
      <c r="G7" s="171">
        <f>156.08/50*C7</f>
        <v>124.86400000000002</v>
      </c>
      <c r="H7" s="2"/>
      <c r="I7" s="2"/>
      <c r="J7" s="2"/>
      <c r="K7" s="1"/>
    </row>
    <row r="8" spans="1:16" s="136" customFormat="1" x14ac:dyDescent="0.25">
      <c r="A8" s="193" t="s">
        <v>81</v>
      </c>
      <c r="B8" s="173" t="s">
        <v>16</v>
      </c>
      <c r="C8" s="174">
        <v>100</v>
      </c>
      <c r="D8" s="175">
        <f>3.6/150*C8</f>
        <v>2.4</v>
      </c>
      <c r="E8" s="175">
        <f>0.6/150*C8</f>
        <v>0.4</v>
      </c>
      <c r="F8" s="175">
        <f>14.7/150*C8</f>
        <v>9.7999999999999989</v>
      </c>
      <c r="G8" s="175">
        <f>66.6/150*C8</f>
        <v>44.399999999999991</v>
      </c>
      <c r="H8" s="118"/>
      <c r="I8" s="118"/>
      <c r="J8" s="118"/>
      <c r="K8" s="117"/>
    </row>
    <row r="9" spans="1:16" x14ac:dyDescent="0.25">
      <c r="A9" s="57" t="s">
        <v>63</v>
      </c>
      <c r="B9" s="126" t="s">
        <v>7</v>
      </c>
      <c r="C9" s="123">
        <v>50</v>
      </c>
      <c r="D9" s="123">
        <f>C9*7.7/100</f>
        <v>3.85</v>
      </c>
      <c r="E9" s="124">
        <f>C9*0.8/100</f>
        <v>0.4</v>
      </c>
      <c r="F9" s="123">
        <f>C9*49.5/100</f>
        <v>24.75</v>
      </c>
      <c r="G9" s="124">
        <f t="shared" ref="G9" si="0">F9*4+E9*9+D9*4</f>
        <v>118</v>
      </c>
      <c r="H9" s="3"/>
      <c r="I9" s="3"/>
      <c r="J9" s="2"/>
      <c r="K9" s="1"/>
    </row>
    <row r="10" spans="1:16" x14ac:dyDescent="0.25">
      <c r="A10" s="29" t="s">
        <v>31</v>
      </c>
      <c r="B10" s="30" t="s">
        <v>29</v>
      </c>
      <c r="C10" s="168">
        <v>200</v>
      </c>
      <c r="D10" s="169">
        <v>3.8719999999999999</v>
      </c>
      <c r="E10" s="169">
        <v>3.8000000000000003</v>
      </c>
      <c r="F10" s="169">
        <v>13.092000000000001</v>
      </c>
      <c r="G10" s="169">
        <v>101.88</v>
      </c>
      <c r="H10" s="3"/>
      <c r="I10" s="3"/>
      <c r="J10" s="2"/>
      <c r="K10" s="1"/>
    </row>
    <row r="11" spans="1:16" x14ac:dyDescent="0.25">
      <c r="A11" s="212" t="s">
        <v>20</v>
      </c>
      <c r="B11" s="213"/>
      <c r="C11" s="22">
        <f>SUM(C6:C10)</f>
        <v>590</v>
      </c>
      <c r="D11" s="23">
        <f>SUM(D6:D10)</f>
        <v>21.622</v>
      </c>
      <c r="E11" s="22">
        <f>SUM(E6:E10)</f>
        <v>20.679999999999996</v>
      </c>
      <c r="F11" s="23">
        <f>SUM(F6:F10)</f>
        <v>92.465999999999994</v>
      </c>
      <c r="G11" s="23">
        <f>SUM(G6:G10)</f>
        <v>630.14400000000001</v>
      </c>
      <c r="H11" s="3"/>
      <c r="I11" s="3"/>
      <c r="J11" s="2"/>
      <c r="K11" s="1"/>
    </row>
    <row r="12" spans="1:16" x14ac:dyDescent="0.25">
      <c r="A12" s="212" t="s">
        <v>10</v>
      </c>
      <c r="B12" s="214"/>
      <c r="C12" s="214"/>
      <c r="D12" s="214"/>
      <c r="E12" s="214"/>
      <c r="F12" s="214"/>
      <c r="G12" s="214"/>
      <c r="H12" s="3"/>
      <c r="I12" s="3"/>
      <c r="J12" s="2"/>
      <c r="K12" s="1"/>
    </row>
    <row r="13" spans="1:16" x14ac:dyDescent="0.25">
      <c r="A13" s="39" t="s">
        <v>36</v>
      </c>
      <c r="B13" s="150" t="s">
        <v>91</v>
      </c>
      <c r="C13" s="39">
        <v>250</v>
      </c>
      <c r="D13" s="41">
        <f>C13*1.17/100</f>
        <v>2.9249999999999998</v>
      </c>
      <c r="E13" s="41">
        <f>C13*2.05/100</f>
        <v>5.125</v>
      </c>
      <c r="F13" s="41">
        <f>C13*9.94/100</f>
        <v>24.85</v>
      </c>
      <c r="G13" s="41">
        <f t="shared" ref="G13:G17" si="1">F13*4+E13*9+D13*4</f>
        <v>157.22499999999999</v>
      </c>
      <c r="H13" s="3"/>
      <c r="I13" s="3"/>
      <c r="J13" s="2"/>
      <c r="K13" s="1"/>
    </row>
    <row r="14" spans="1:16" s="38" customFormat="1" x14ac:dyDescent="0.25">
      <c r="A14" s="18" t="s">
        <v>13</v>
      </c>
      <c r="B14" s="19" t="s">
        <v>12</v>
      </c>
      <c r="C14" s="25">
        <v>200</v>
      </c>
      <c r="D14" s="20">
        <f>C14*2.1/100</f>
        <v>4.2</v>
      </c>
      <c r="E14" s="20">
        <f>C14*4.5/100</f>
        <v>9</v>
      </c>
      <c r="F14" s="20">
        <f>C14*14.6/100</f>
        <v>29.2</v>
      </c>
      <c r="G14" s="20">
        <f>F14*4+E14*9+D14*4</f>
        <v>214.60000000000002</v>
      </c>
      <c r="H14" s="119"/>
      <c r="I14" s="119"/>
      <c r="J14" s="118"/>
      <c r="K14" s="117"/>
      <c r="L14" s="117"/>
      <c r="M14" s="117"/>
      <c r="N14" s="117"/>
      <c r="O14" s="117"/>
      <c r="P14" s="117"/>
    </row>
    <row r="15" spans="1:16" s="117" customFormat="1" x14ac:dyDescent="0.25">
      <c r="A15" s="18" t="s">
        <v>79</v>
      </c>
      <c r="B15" s="19" t="s">
        <v>48</v>
      </c>
      <c r="C15" s="18">
        <v>90</v>
      </c>
      <c r="D15" s="20">
        <f>C15*21.3/100</f>
        <v>19.170000000000002</v>
      </c>
      <c r="E15" s="20">
        <f>C15*17.1/100</f>
        <v>15.390000000000002</v>
      </c>
      <c r="F15" s="20">
        <f>C15*35.7/100</f>
        <v>32.130000000000003</v>
      </c>
      <c r="G15" s="20">
        <f>F15*4+E15*9+D15*4</f>
        <v>343.71000000000004</v>
      </c>
      <c r="H15" s="119"/>
      <c r="I15" s="119"/>
      <c r="J15" s="118"/>
    </row>
    <row r="16" spans="1:16" x14ac:dyDescent="0.25">
      <c r="A16" s="123" t="s">
        <v>83</v>
      </c>
      <c r="B16" s="48" t="s">
        <v>7</v>
      </c>
      <c r="C16" s="42">
        <v>30</v>
      </c>
      <c r="D16" s="42">
        <f>C16*7.7/100</f>
        <v>2.31</v>
      </c>
      <c r="E16" s="44">
        <f>C16*0.8/100</f>
        <v>0.24</v>
      </c>
      <c r="F16" s="42">
        <f>C16*49.5/100</f>
        <v>14.85</v>
      </c>
      <c r="G16" s="44">
        <f t="shared" si="1"/>
        <v>70.8</v>
      </c>
      <c r="H16" s="3"/>
      <c r="I16" s="3"/>
      <c r="J16" s="2"/>
      <c r="K16" s="1"/>
    </row>
    <row r="17" spans="1:11" x14ac:dyDescent="0.25">
      <c r="A17" s="18"/>
      <c r="B17" s="19" t="s">
        <v>14</v>
      </c>
      <c r="C17" s="18">
        <v>20</v>
      </c>
      <c r="D17" s="18">
        <f>C17*6.6/100</f>
        <v>1.32</v>
      </c>
      <c r="E17" s="18">
        <f>C17*1.1/100</f>
        <v>0.22</v>
      </c>
      <c r="F17" s="18">
        <f>C17*43.9/100</f>
        <v>8.7799999999999994</v>
      </c>
      <c r="G17" s="18">
        <f t="shared" si="1"/>
        <v>42.379999999999995</v>
      </c>
      <c r="H17" s="3"/>
      <c r="I17" s="3"/>
      <c r="J17" s="2"/>
      <c r="K17" s="1"/>
    </row>
    <row r="18" spans="1:11" x14ac:dyDescent="0.25">
      <c r="A18" s="58" t="s">
        <v>52</v>
      </c>
      <c r="B18" s="60" t="s">
        <v>51</v>
      </c>
      <c r="C18" s="58">
        <v>200</v>
      </c>
      <c r="D18" s="59">
        <f>0.4/200*C18</f>
        <v>0.4</v>
      </c>
      <c r="E18" s="59">
        <f>0.27/200*C18</f>
        <v>0.27</v>
      </c>
      <c r="F18" s="59">
        <f>17.2/200*C18</f>
        <v>17.2</v>
      </c>
      <c r="G18" s="59">
        <f>72.83/200*C18</f>
        <v>72.83</v>
      </c>
      <c r="H18" s="3"/>
      <c r="I18" s="3"/>
      <c r="J18" s="2"/>
      <c r="K18" s="1"/>
    </row>
    <row r="19" spans="1:11" x14ac:dyDescent="0.25">
      <c r="A19" s="212" t="s">
        <v>21</v>
      </c>
      <c r="B19" s="213"/>
      <c r="C19" s="102">
        <f>SUM(C13:C18)</f>
        <v>790</v>
      </c>
      <c r="D19" s="178">
        <f>SUM(D13:D18)</f>
        <v>30.324999999999999</v>
      </c>
      <c r="E19" s="178">
        <f>SUM(E13:E18)</f>
        <v>30.244999999999997</v>
      </c>
      <c r="F19" s="178">
        <f>SUM(F13:F18)</f>
        <v>127.01</v>
      </c>
      <c r="G19" s="178">
        <f>SUM(G13:G18)</f>
        <v>901.54500000000007</v>
      </c>
      <c r="H19" s="3"/>
      <c r="I19" s="3"/>
      <c r="J19" s="2"/>
      <c r="K19" s="1"/>
    </row>
    <row r="20" spans="1:11" x14ac:dyDescent="0.25">
      <c r="A20" s="210"/>
      <c r="B20" s="211"/>
      <c r="C20" s="211"/>
      <c r="D20" s="211"/>
      <c r="E20" s="211"/>
      <c r="F20" s="211"/>
      <c r="G20" s="211"/>
      <c r="H20" s="3"/>
      <c r="I20" s="3"/>
      <c r="J20" s="2"/>
      <c r="K20" s="1"/>
    </row>
    <row r="21" spans="1:11" x14ac:dyDescent="0.25">
      <c r="A21" s="212" t="s">
        <v>19</v>
      </c>
      <c r="B21" s="213"/>
      <c r="C21" s="18"/>
      <c r="D21" s="23">
        <f>D11+D19</f>
        <v>51.947000000000003</v>
      </c>
      <c r="E21" s="23">
        <f>E11+E19</f>
        <v>50.924999999999997</v>
      </c>
      <c r="F21" s="23">
        <f>F11+F19</f>
        <v>219.476</v>
      </c>
      <c r="G21" s="22">
        <f>G11+G19</f>
        <v>1531.6890000000001</v>
      </c>
      <c r="H21" s="3"/>
      <c r="I21" s="3"/>
      <c r="J21" s="2"/>
      <c r="K21" s="1"/>
    </row>
    <row r="24" spans="1:11" x14ac:dyDescent="0.25">
      <c r="C24" s="104"/>
      <c r="D24" s="105"/>
      <c r="E24" s="105"/>
      <c r="F24" s="105"/>
      <c r="G24" s="105"/>
    </row>
    <row r="25" spans="1:11" x14ac:dyDescent="0.25">
      <c r="C25" s="106"/>
      <c r="D25" s="106"/>
      <c r="E25" s="106"/>
      <c r="F25" s="106"/>
      <c r="G25" s="106"/>
    </row>
  </sheetData>
  <mergeCells count="13">
    <mergeCell ref="A20:G20"/>
    <mergeCell ref="A21:B21"/>
    <mergeCell ref="A11:B11"/>
    <mergeCell ref="A1:C1"/>
    <mergeCell ref="D1:G1"/>
    <mergeCell ref="D2:G2"/>
    <mergeCell ref="A12:G12"/>
    <mergeCell ref="A19:B19"/>
    <mergeCell ref="A3:A4"/>
    <mergeCell ref="B3:B4"/>
    <mergeCell ref="C3:C4"/>
    <mergeCell ref="D3:F3"/>
    <mergeCell ref="G3:G4"/>
  </mergeCells>
  <pageMargins left="0.7" right="0.7" top="0.75" bottom="0.75" header="0.3" footer="0.3"/>
  <pageSetup paperSize="9" scale="93" orientation="landscape" r:id="rId1"/>
  <colBreaks count="1" manualBreakCount="1">
    <brk id="8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10" zoomScaleSheetLayoutView="100" workbookViewId="0">
      <selection activeCell="L20" sqref="L20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9.140625" customWidth="1"/>
  </cols>
  <sheetData>
    <row r="1" spans="1:10" ht="15.75" x14ac:dyDescent="0.25">
      <c r="A1" s="216"/>
      <c r="B1" s="216"/>
      <c r="C1" s="216"/>
      <c r="D1" s="217"/>
      <c r="E1" s="217"/>
      <c r="F1" s="217"/>
      <c r="G1" s="217"/>
    </row>
    <row r="2" spans="1:10" ht="15.75" x14ac:dyDescent="0.25">
      <c r="A2" s="96" t="s">
        <v>96</v>
      </c>
      <c r="B2" s="96"/>
      <c r="C2" s="97"/>
      <c r="D2" s="218" t="s">
        <v>60</v>
      </c>
      <c r="E2" s="218"/>
      <c r="F2" s="218"/>
      <c r="G2" s="218"/>
    </row>
    <row r="3" spans="1:10" ht="18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  <c r="I3" s="2"/>
      <c r="J3" s="1"/>
    </row>
    <row r="4" spans="1:10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2"/>
      <c r="I4" s="2"/>
      <c r="J4" s="1"/>
    </row>
    <row r="5" spans="1:10" x14ac:dyDescent="0.25">
      <c r="A5" s="15"/>
      <c r="B5" s="91"/>
      <c r="C5" s="91"/>
      <c r="D5" s="91"/>
      <c r="E5" s="91"/>
      <c r="F5" s="92" t="s">
        <v>9</v>
      </c>
      <c r="G5" s="91"/>
      <c r="H5" s="2"/>
      <c r="I5" s="2"/>
      <c r="J5" s="1"/>
    </row>
    <row r="6" spans="1:10" s="69" customFormat="1" x14ac:dyDescent="0.25">
      <c r="A6" s="107"/>
      <c r="B6" s="111"/>
      <c r="C6" s="110"/>
      <c r="D6" s="110"/>
      <c r="E6" s="110"/>
      <c r="F6" s="110"/>
      <c r="G6" s="110"/>
      <c r="H6" s="71"/>
      <c r="I6" s="71"/>
      <c r="J6" s="70"/>
    </row>
    <row r="7" spans="1:10" x14ac:dyDescent="0.25">
      <c r="A7" s="160" t="s">
        <v>79</v>
      </c>
      <c r="B7" s="177" t="s">
        <v>105</v>
      </c>
      <c r="C7" s="160">
        <v>150</v>
      </c>
      <c r="D7" s="160">
        <f>4.01/100*C7</f>
        <v>6.0149999999999997</v>
      </c>
      <c r="E7" s="160">
        <f>5.51/100*C7</f>
        <v>8.2649999999999988</v>
      </c>
      <c r="F7" s="171">
        <f>11.24/100*C7</f>
        <v>16.86</v>
      </c>
      <c r="G7" s="160">
        <f>116.25/100*C7</f>
        <v>174.375</v>
      </c>
      <c r="H7" s="3"/>
      <c r="I7" s="2"/>
      <c r="J7" s="1"/>
    </row>
    <row r="8" spans="1:10" s="136" customFormat="1" x14ac:dyDescent="0.25">
      <c r="A8" s="158"/>
      <c r="B8" s="111" t="s">
        <v>92</v>
      </c>
      <c r="C8" s="110">
        <v>50</v>
      </c>
      <c r="D8" s="110">
        <f>6.85/50*C8</f>
        <v>6.8499999999999988</v>
      </c>
      <c r="E8" s="110">
        <f>6.45/50*C8</f>
        <v>6.45</v>
      </c>
      <c r="F8" s="110">
        <f>29.2/50*C8</f>
        <v>29.2</v>
      </c>
      <c r="G8" s="110">
        <f>211.25/50*C8</f>
        <v>211.24999999999997</v>
      </c>
      <c r="H8" s="119"/>
      <c r="I8" s="118"/>
      <c r="J8" s="117"/>
    </row>
    <row r="9" spans="1:10" s="69" customFormat="1" x14ac:dyDescent="0.25">
      <c r="A9" s="166" t="s">
        <v>81</v>
      </c>
      <c r="B9" s="167" t="s">
        <v>28</v>
      </c>
      <c r="C9" s="168">
        <v>100</v>
      </c>
      <c r="D9" s="169">
        <f>1.5/100*C9</f>
        <v>1.5</v>
      </c>
      <c r="E9" s="169">
        <f>2.5/100*C9</f>
        <v>2.5</v>
      </c>
      <c r="F9" s="169">
        <f>11/100*C9</f>
        <v>11</v>
      </c>
      <c r="G9" s="169">
        <f>54.5/100*C9</f>
        <v>54.500000000000007</v>
      </c>
      <c r="H9" s="72"/>
      <c r="I9" s="71"/>
      <c r="J9" s="70"/>
    </row>
    <row r="10" spans="1:10" s="69" customFormat="1" x14ac:dyDescent="0.25">
      <c r="A10" s="76"/>
      <c r="B10" s="94" t="s">
        <v>7</v>
      </c>
      <c r="C10" s="93">
        <v>50</v>
      </c>
      <c r="D10" s="93">
        <f>C10*7.7/100</f>
        <v>3.85</v>
      </c>
      <c r="E10" s="95">
        <f>C10*0.8/100</f>
        <v>0.4</v>
      </c>
      <c r="F10" s="93">
        <f>C10*49.5/100</f>
        <v>24.75</v>
      </c>
      <c r="G10" s="95">
        <f t="shared" ref="G10" si="0">F10*4+E10*9+D10*4</f>
        <v>118</v>
      </c>
      <c r="H10" s="72"/>
      <c r="I10" s="71"/>
      <c r="J10" s="70"/>
    </row>
    <row r="11" spans="1:10" x14ac:dyDescent="0.25">
      <c r="A11" s="168" t="s">
        <v>18</v>
      </c>
      <c r="B11" s="167" t="s">
        <v>17</v>
      </c>
      <c r="C11" s="168">
        <v>200</v>
      </c>
      <c r="D11" s="169">
        <v>3.456</v>
      </c>
      <c r="E11" s="170">
        <v>3.7760000000000002</v>
      </c>
      <c r="F11" s="169">
        <v>13.283999999999999</v>
      </c>
      <c r="G11" s="169">
        <v>100.24000000000001</v>
      </c>
      <c r="H11" s="3"/>
      <c r="I11" s="2"/>
      <c r="J11" s="1"/>
    </row>
    <row r="12" spans="1:10" x14ac:dyDescent="0.25">
      <c r="A12" s="230" t="s">
        <v>20</v>
      </c>
      <c r="B12" s="231"/>
      <c r="C12" s="101">
        <f>SUM(C7:C11)</f>
        <v>550</v>
      </c>
      <c r="D12" s="195">
        <f t="shared" ref="D12:F12" si="1">SUM(D7:D11)</f>
        <v>21.670999999999999</v>
      </c>
      <c r="E12" s="195">
        <f t="shared" si="1"/>
        <v>21.390999999999998</v>
      </c>
      <c r="F12" s="195">
        <f t="shared" si="1"/>
        <v>95.093999999999994</v>
      </c>
      <c r="G12" s="195">
        <f>SUM(G7:G11)</f>
        <v>658.36500000000001</v>
      </c>
      <c r="H12" s="3"/>
      <c r="I12" s="2" t="s">
        <v>8</v>
      </c>
      <c r="J12" s="1"/>
    </row>
    <row r="13" spans="1:10" x14ac:dyDescent="0.25">
      <c r="A13" s="212" t="s">
        <v>10</v>
      </c>
      <c r="B13" s="214"/>
      <c r="C13" s="214"/>
      <c r="D13" s="214"/>
      <c r="E13" s="214"/>
      <c r="F13" s="214"/>
      <c r="G13" s="214"/>
      <c r="H13" s="3"/>
      <c r="I13" s="2"/>
      <c r="J13" s="1"/>
    </row>
    <row r="14" spans="1:10" s="69" customFormat="1" x14ac:dyDescent="0.25">
      <c r="A14" s="168" t="s">
        <v>79</v>
      </c>
      <c r="B14" s="194" t="s">
        <v>101</v>
      </c>
      <c r="C14" s="81">
        <v>75</v>
      </c>
      <c r="D14" s="81">
        <f>8.05/75*C14</f>
        <v>8.0500000000000007</v>
      </c>
      <c r="E14" s="81">
        <f>10.03/75*C14</f>
        <v>10.029999999999999</v>
      </c>
      <c r="F14" s="81">
        <f>21/75*C14</f>
        <v>21.000000000000004</v>
      </c>
      <c r="G14" s="81">
        <f>206/75*C14</f>
        <v>206</v>
      </c>
      <c r="H14" s="72"/>
      <c r="I14" s="71"/>
      <c r="J14" s="70"/>
    </row>
    <row r="15" spans="1:10" x14ac:dyDescent="0.25">
      <c r="A15" s="31" t="s">
        <v>79</v>
      </c>
      <c r="B15" s="32" t="s">
        <v>65</v>
      </c>
      <c r="C15" s="31">
        <v>250</v>
      </c>
      <c r="D15" s="31">
        <f>4.2/250*C15</f>
        <v>4.2</v>
      </c>
      <c r="E15" s="31">
        <f>10.78/250*C15</f>
        <v>10.78</v>
      </c>
      <c r="F15" s="31">
        <f>17.38/250*C15</f>
        <v>17.38</v>
      </c>
      <c r="G15" s="31">
        <v>127</v>
      </c>
      <c r="H15" s="3"/>
      <c r="I15" s="2"/>
      <c r="J15" s="1"/>
    </row>
    <row r="16" spans="1:10" s="136" customFormat="1" x14ac:dyDescent="0.25">
      <c r="A16" s="141" t="s">
        <v>79</v>
      </c>
      <c r="B16" s="142" t="s">
        <v>102</v>
      </c>
      <c r="C16" s="141">
        <v>90</v>
      </c>
      <c r="D16" s="108">
        <f>8.9444/80*C16</f>
        <v>10.06245</v>
      </c>
      <c r="E16" s="108">
        <f>4.3544/80*C16</f>
        <v>4.8986999999999998</v>
      </c>
      <c r="F16" s="108">
        <f>27.08/80*C16</f>
        <v>30.464999999999996</v>
      </c>
      <c r="G16" s="108">
        <f>192.592/80*C16</f>
        <v>216.666</v>
      </c>
      <c r="H16" s="119"/>
      <c r="I16" s="118"/>
      <c r="J16" s="117"/>
    </row>
    <row r="17" spans="1:12" x14ac:dyDescent="0.25">
      <c r="A17" s="168" t="s">
        <v>79</v>
      </c>
      <c r="B17" s="167" t="s">
        <v>103</v>
      </c>
      <c r="C17" s="18">
        <v>150</v>
      </c>
      <c r="D17" s="169">
        <f>3.36986/130*C17</f>
        <v>3.8883000000000001</v>
      </c>
      <c r="E17" s="169">
        <f>3.82564/130*C17</f>
        <v>4.4142000000000001</v>
      </c>
      <c r="F17" s="21">
        <f>21.75368/130*C17</f>
        <v>25.100399999999997</v>
      </c>
      <c r="G17" s="20">
        <f>174/130*C17</f>
        <v>200.76923076923075</v>
      </c>
      <c r="H17" s="3"/>
      <c r="I17" s="2"/>
      <c r="J17" s="1"/>
    </row>
    <row r="18" spans="1:12" s="136" customFormat="1" x14ac:dyDescent="0.25">
      <c r="A18" s="168"/>
      <c r="B18" s="167" t="s">
        <v>14</v>
      </c>
      <c r="C18" s="168">
        <v>20</v>
      </c>
      <c r="D18" s="168">
        <f>C18*6.6/100</f>
        <v>1.32</v>
      </c>
      <c r="E18" s="168">
        <f>C18*1.1/100</f>
        <v>0.22</v>
      </c>
      <c r="F18" s="168">
        <f>C18*43.9/100</f>
        <v>8.7799999999999994</v>
      </c>
      <c r="G18" s="168">
        <f t="shared" ref="G18" si="2">F18*4+E18*9+D18*4</f>
        <v>42.379999999999995</v>
      </c>
      <c r="H18" s="119"/>
      <c r="I18" s="118"/>
      <c r="J18" s="117"/>
    </row>
    <row r="19" spans="1:12" x14ac:dyDescent="0.25">
      <c r="A19" s="18"/>
      <c r="B19" s="19" t="s">
        <v>7</v>
      </c>
      <c r="C19" s="18">
        <v>20</v>
      </c>
      <c r="D19" s="18">
        <f>C19*7.7/100</f>
        <v>1.54</v>
      </c>
      <c r="E19" s="20">
        <f>C19*0.8/100</f>
        <v>0.16</v>
      </c>
      <c r="F19" s="18">
        <f>C19*49.5/100</f>
        <v>9.9</v>
      </c>
      <c r="G19" s="20">
        <f t="shared" ref="G19:G20" si="3">F19*4+E19*9+D19*4</f>
        <v>47.2</v>
      </c>
      <c r="H19" s="3"/>
      <c r="I19" s="2"/>
      <c r="J19" s="1"/>
    </row>
    <row r="20" spans="1:12" x14ac:dyDescent="0.25">
      <c r="A20" s="18" t="s">
        <v>27</v>
      </c>
      <c r="B20" s="28" t="s">
        <v>26</v>
      </c>
      <c r="C20" s="168">
        <v>200</v>
      </c>
      <c r="D20" s="169">
        <f>0.3/200*C20</f>
        <v>0.3</v>
      </c>
      <c r="E20" s="170">
        <f>0/200*C20</f>
        <v>0</v>
      </c>
      <c r="F20" s="169">
        <f>15.2/200*C20</f>
        <v>15.2</v>
      </c>
      <c r="G20" s="169">
        <f t="shared" si="3"/>
        <v>62</v>
      </c>
      <c r="H20" s="3"/>
      <c r="I20" s="2"/>
      <c r="J20" s="1"/>
    </row>
    <row r="21" spans="1:12" x14ac:dyDescent="0.25">
      <c r="A21" s="212" t="s">
        <v>21</v>
      </c>
      <c r="B21" s="213"/>
      <c r="C21" s="102">
        <f>SUM(C14:C20)</f>
        <v>805</v>
      </c>
      <c r="D21" s="23">
        <f t="shared" ref="D21:G21" si="4">SUM(D14:D20)</f>
        <v>29.360749999999999</v>
      </c>
      <c r="E21" s="23">
        <f t="shared" si="4"/>
        <v>30.5029</v>
      </c>
      <c r="F21" s="23">
        <f t="shared" si="4"/>
        <v>127.8254</v>
      </c>
      <c r="G21" s="23">
        <f t="shared" si="4"/>
        <v>902.0152307692307</v>
      </c>
      <c r="H21" s="3"/>
      <c r="I21" s="2"/>
      <c r="J21" s="1"/>
      <c r="L21" s="27"/>
    </row>
    <row r="22" spans="1:12" x14ac:dyDescent="0.25">
      <c r="A22" s="210"/>
      <c r="B22" s="211"/>
      <c r="C22" s="211"/>
      <c r="D22" s="211"/>
      <c r="E22" s="211"/>
      <c r="F22" s="211"/>
      <c r="G22" s="211"/>
      <c r="H22" s="3"/>
      <c r="I22" s="2"/>
      <c r="J22" s="1"/>
    </row>
    <row r="23" spans="1:12" x14ac:dyDescent="0.25">
      <c r="A23" s="212" t="s">
        <v>19</v>
      </c>
      <c r="B23" s="213"/>
      <c r="C23" s="18"/>
      <c r="D23" s="23">
        <f t="shared" ref="D23:G23" si="5">D12+D21</f>
        <v>51.031750000000002</v>
      </c>
      <c r="E23" s="23">
        <f t="shared" si="5"/>
        <v>51.893900000000002</v>
      </c>
      <c r="F23" s="23">
        <f t="shared" si="5"/>
        <v>222.9194</v>
      </c>
      <c r="G23" s="23">
        <f t="shared" si="5"/>
        <v>1560.3802307692308</v>
      </c>
      <c r="H23" s="3"/>
      <c r="I23" s="2"/>
      <c r="J23" s="1"/>
    </row>
  </sheetData>
  <mergeCells count="13">
    <mergeCell ref="C3:C4"/>
    <mergeCell ref="D3:F3"/>
    <mergeCell ref="G3:G4"/>
    <mergeCell ref="A1:C1"/>
    <mergeCell ref="D1:G1"/>
    <mergeCell ref="D2:G2"/>
    <mergeCell ref="A3:A4"/>
    <mergeCell ref="B3:B4"/>
    <mergeCell ref="A22:G22"/>
    <mergeCell ref="A23:B23"/>
    <mergeCell ref="A12:B12"/>
    <mergeCell ref="A13:G13"/>
    <mergeCell ref="A21:B21"/>
  </mergeCells>
  <pageMargins left="0.7" right="0.7" top="0.75" bottom="0.75" header="0.3" footer="0.3"/>
  <pageSetup paperSize="9" scale="91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10" zoomScaleSheetLayoutView="100" workbookViewId="0">
      <selection activeCell="J15" sqref="J15"/>
    </sheetView>
  </sheetViews>
  <sheetFormatPr defaultRowHeight="15" x14ac:dyDescent="0.25"/>
  <cols>
    <col min="1" max="1" width="12.85546875" customWidth="1"/>
    <col min="2" max="2" width="28.42578125" customWidth="1"/>
    <col min="3" max="3" width="8" customWidth="1"/>
    <col min="4" max="4" width="7.7109375" customWidth="1"/>
    <col min="5" max="5" width="7" customWidth="1"/>
    <col min="7" max="7" width="9.42578125" customWidth="1"/>
  </cols>
  <sheetData>
    <row r="1" spans="1:11" ht="15.75" x14ac:dyDescent="0.25">
      <c r="A1" s="216"/>
      <c r="B1" s="216"/>
      <c r="C1" s="216"/>
      <c r="D1" s="217"/>
      <c r="E1" s="217"/>
      <c r="F1" s="217"/>
      <c r="G1" s="217"/>
    </row>
    <row r="2" spans="1:11" ht="15.75" x14ac:dyDescent="0.25">
      <c r="A2" s="236" t="s">
        <v>96</v>
      </c>
      <c r="B2" s="236"/>
      <c r="C2" s="97"/>
      <c r="D2" s="218" t="s">
        <v>61</v>
      </c>
      <c r="E2" s="218"/>
      <c r="F2" s="218"/>
      <c r="G2" s="218"/>
    </row>
    <row r="3" spans="1:11" ht="24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  <c r="I3" s="2"/>
      <c r="J3" s="2"/>
      <c r="K3" s="1"/>
    </row>
    <row r="4" spans="1:11" ht="18.75" customHeight="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2"/>
      <c r="I4" s="2"/>
      <c r="J4" s="2"/>
      <c r="K4" s="1"/>
    </row>
    <row r="5" spans="1:11" x14ac:dyDescent="0.25">
      <c r="A5" s="15"/>
      <c r="B5" s="16"/>
      <c r="C5" s="16"/>
      <c r="D5" s="91"/>
      <c r="E5" s="91"/>
      <c r="F5" s="92" t="s">
        <v>9</v>
      </c>
      <c r="G5" s="91"/>
      <c r="H5" s="2"/>
      <c r="I5" s="2"/>
      <c r="J5" s="2"/>
      <c r="K5" s="1"/>
    </row>
    <row r="6" spans="1:11" x14ac:dyDescent="0.25">
      <c r="A6" s="61" t="s">
        <v>79</v>
      </c>
      <c r="B6" s="62" t="s">
        <v>106</v>
      </c>
      <c r="C6" s="61">
        <v>200</v>
      </c>
      <c r="D6" s="67">
        <f>10.3/150*C6</f>
        <v>13.733333333333334</v>
      </c>
      <c r="E6" s="67">
        <f>8.05/150*C6</f>
        <v>10.733333333333334</v>
      </c>
      <c r="F6" s="67">
        <f>34.24/150*C6</f>
        <v>45.653333333333336</v>
      </c>
      <c r="G6" s="67">
        <f>222.5/150*C6</f>
        <v>296.66666666666669</v>
      </c>
      <c r="H6" s="3"/>
      <c r="I6" s="3"/>
      <c r="J6" s="2"/>
      <c r="K6" s="1"/>
    </row>
    <row r="7" spans="1:11" x14ac:dyDescent="0.25">
      <c r="A7" s="93" t="s">
        <v>54</v>
      </c>
      <c r="B7" s="94" t="s">
        <v>55</v>
      </c>
      <c r="C7" s="93">
        <v>50</v>
      </c>
      <c r="D7" s="169">
        <f>2.45/40*C7</f>
        <v>3.0625000000000004</v>
      </c>
      <c r="E7" s="95">
        <f>8.55/40*C7</f>
        <v>10.687500000000002</v>
      </c>
      <c r="F7" s="95">
        <f>14.62/40*C7</f>
        <v>18.274999999999999</v>
      </c>
      <c r="G7" s="95">
        <f>155.23/40*C7</f>
        <v>194.03749999999999</v>
      </c>
      <c r="H7" s="3"/>
      <c r="I7" s="3"/>
      <c r="J7" s="2"/>
      <c r="K7" s="1"/>
    </row>
    <row r="8" spans="1:11" s="69" customFormat="1" x14ac:dyDescent="0.25">
      <c r="A8" s="160" t="s">
        <v>81</v>
      </c>
      <c r="B8" s="159" t="s">
        <v>16</v>
      </c>
      <c r="C8" s="160">
        <v>150</v>
      </c>
      <c r="D8" s="171">
        <f>3.6/150*C8</f>
        <v>3.6</v>
      </c>
      <c r="E8" s="171">
        <f>0.6/150*C8</f>
        <v>0.6</v>
      </c>
      <c r="F8" s="171">
        <f>14.7/150*C8</f>
        <v>14.7</v>
      </c>
      <c r="G8" s="171">
        <f>66.6/150*C8</f>
        <v>66.599999999999994</v>
      </c>
      <c r="H8" s="72"/>
      <c r="I8" s="72"/>
      <c r="J8" s="71"/>
      <c r="K8" s="70"/>
    </row>
    <row r="9" spans="1:11" x14ac:dyDescent="0.25">
      <c r="A9" s="154" t="s">
        <v>45</v>
      </c>
      <c r="B9" s="152" t="s">
        <v>30</v>
      </c>
      <c r="C9" s="154">
        <v>200</v>
      </c>
      <c r="D9" s="153">
        <f>0.2/200*C9</f>
        <v>0.2</v>
      </c>
      <c r="E9" s="153">
        <f>0/200*C9</f>
        <v>0</v>
      </c>
      <c r="F9" s="153">
        <f>14/200*C9</f>
        <v>14.000000000000002</v>
      </c>
      <c r="G9" s="153">
        <f>F9*4+E9*9+D9*4</f>
        <v>56.800000000000004</v>
      </c>
      <c r="H9" s="3"/>
      <c r="I9" s="3"/>
      <c r="J9" s="2"/>
      <c r="K9" s="1"/>
    </row>
    <row r="10" spans="1:11" x14ac:dyDescent="0.25">
      <c r="A10" s="212" t="s">
        <v>20</v>
      </c>
      <c r="B10" s="213"/>
      <c r="C10" s="22">
        <f t="shared" ref="C10:G10" si="0">SUM(C6:C9)</f>
        <v>600</v>
      </c>
      <c r="D10" s="23">
        <f t="shared" si="0"/>
        <v>20.595833333333335</v>
      </c>
      <c r="E10" s="23">
        <f t="shared" si="0"/>
        <v>22.020833333333336</v>
      </c>
      <c r="F10" s="23">
        <f t="shared" si="0"/>
        <v>92.62833333333333</v>
      </c>
      <c r="G10" s="23">
        <f t="shared" si="0"/>
        <v>614.10416666666663</v>
      </c>
      <c r="H10" s="3"/>
      <c r="I10" s="3"/>
      <c r="J10" s="2" t="s">
        <v>8</v>
      </c>
      <c r="K10" s="1"/>
    </row>
    <row r="11" spans="1:11" x14ac:dyDescent="0.25">
      <c r="A11" s="212" t="s">
        <v>10</v>
      </c>
      <c r="B11" s="214"/>
      <c r="C11" s="214"/>
      <c r="D11" s="214"/>
      <c r="E11" s="214"/>
      <c r="F11" s="214"/>
      <c r="G11" s="214"/>
      <c r="H11" s="3"/>
      <c r="I11" s="3"/>
      <c r="J11" s="2"/>
      <c r="K11" s="1"/>
    </row>
    <row r="12" spans="1:11" ht="25.5" x14ac:dyDescent="0.25">
      <c r="A12" s="172" t="s">
        <v>66</v>
      </c>
      <c r="B12" s="196" t="s">
        <v>71</v>
      </c>
      <c r="C12" s="172">
        <v>100</v>
      </c>
      <c r="D12" s="109">
        <f>3.02/90*C12</f>
        <v>3.3555555555555552</v>
      </c>
      <c r="E12" s="109">
        <f>6.36/90*C12</f>
        <v>7.0666666666666673</v>
      </c>
      <c r="F12" s="109">
        <f>13.72/90*C12</f>
        <v>15.244444444444444</v>
      </c>
      <c r="G12" s="109">
        <f>164.2/90*C12</f>
        <v>182.44444444444443</v>
      </c>
      <c r="H12" s="3"/>
      <c r="I12" s="3"/>
      <c r="J12" s="2"/>
      <c r="K12" s="1"/>
    </row>
    <row r="13" spans="1:11" x14ac:dyDescent="0.25">
      <c r="A13" s="114" t="s">
        <v>79</v>
      </c>
      <c r="B13" s="197" t="s">
        <v>104</v>
      </c>
      <c r="C13" s="114">
        <v>200</v>
      </c>
      <c r="D13" s="198">
        <f>7.3/200*C13</f>
        <v>7.3</v>
      </c>
      <c r="E13" s="198">
        <f>7.2/200*C13</f>
        <v>7.2000000000000011</v>
      </c>
      <c r="F13" s="198">
        <f>12.2/200*C13</f>
        <v>12.2</v>
      </c>
      <c r="G13" s="198">
        <f>157.3/200*C13</f>
        <v>157.30000000000001</v>
      </c>
      <c r="H13" s="3"/>
      <c r="I13" s="3"/>
      <c r="J13" s="2"/>
      <c r="K13" s="1"/>
    </row>
    <row r="14" spans="1:11" s="136" customFormat="1" x14ac:dyDescent="0.25">
      <c r="A14" s="114" t="s">
        <v>13</v>
      </c>
      <c r="B14" s="28" t="s">
        <v>12</v>
      </c>
      <c r="C14" s="114">
        <v>150</v>
      </c>
      <c r="D14" s="199">
        <f>C14*2.1/100</f>
        <v>3.15</v>
      </c>
      <c r="E14" s="199">
        <f>C14*4.5/100</f>
        <v>6.75</v>
      </c>
      <c r="F14" s="199">
        <f>C14*14.6/100</f>
        <v>21.9</v>
      </c>
      <c r="G14" s="199">
        <f t="shared" ref="G14:G16" si="1">F14*4+E14*9+D14*4</f>
        <v>160.94999999999999</v>
      </c>
      <c r="H14" s="119"/>
      <c r="I14" s="119"/>
      <c r="J14" s="118"/>
      <c r="K14" s="117"/>
    </row>
    <row r="15" spans="1:11" x14ac:dyDescent="0.25">
      <c r="A15" s="114" t="s">
        <v>79</v>
      </c>
      <c r="B15" s="28" t="s">
        <v>80</v>
      </c>
      <c r="C15" s="114">
        <v>100</v>
      </c>
      <c r="D15" s="198">
        <f>12.11/100*C15</f>
        <v>12.11</v>
      </c>
      <c r="E15" s="198">
        <f>10.06/100*C15</f>
        <v>10.06</v>
      </c>
      <c r="F15" s="198">
        <f>17.39/100*C15</f>
        <v>17.39</v>
      </c>
      <c r="G15" s="198">
        <f>265.02/100*C15</f>
        <v>265.02</v>
      </c>
      <c r="H15" s="3"/>
      <c r="I15" s="3"/>
      <c r="J15" s="2"/>
      <c r="K15" s="1"/>
    </row>
    <row r="16" spans="1:11" x14ac:dyDescent="0.25">
      <c r="A16" s="114"/>
      <c r="B16" s="28" t="s">
        <v>7</v>
      </c>
      <c r="C16" s="114">
        <v>40</v>
      </c>
      <c r="D16" s="114">
        <f>C16*7.7/100</f>
        <v>3.08</v>
      </c>
      <c r="E16" s="198">
        <f>C16*0.8/100</f>
        <v>0.32</v>
      </c>
      <c r="F16" s="114">
        <f>C16*49.5/100</f>
        <v>19.8</v>
      </c>
      <c r="G16" s="198">
        <f t="shared" si="1"/>
        <v>94.4</v>
      </c>
      <c r="H16" s="3"/>
      <c r="I16" s="3"/>
      <c r="J16" s="2"/>
      <c r="K16" s="1"/>
    </row>
    <row r="17" spans="1:11" x14ac:dyDescent="0.25">
      <c r="A17" s="172"/>
      <c r="B17" s="33" t="s">
        <v>76</v>
      </c>
      <c r="C17" s="172">
        <v>200</v>
      </c>
      <c r="D17" s="200">
        <f>1/200*C17</f>
        <v>1</v>
      </c>
      <c r="E17" s="109">
        <f>0.2/200*C17</f>
        <v>0.2</v>
      </c>
      <c r="F17" s="109">
        <f>47.2/200*C17</f>
        <v>47.2</v>
      </c>
      <c r="G17" s="109">
        <f>86.6/200*C17</f>
        <v>86.6</v>
      </c>
      <c r="H17" s="3"/>
      <c r="I17" s="3"/>
      <c r="J17" s="2"/>
      <c r="K17" s="1"/>
    </row>
    <row r="18" spans="1:11" x14ac:dyDescent="0.25">
      <c r="A18" s="232" t="s">
        <v>21</v>
      </c>
      <c r="B18" s="233"/>
      <c r="C18" s="201">
        <f t="shared" ref="C18:G18" si="2">SUM(C12:C17)</f>
        <v>790</v>
      </c>
      <c r="D18" s="202">
        <f t="shared" si="2"/>
        <v>29.995555555555555</v>
      </c>
      <c r="E18" s="202">
        <f t="shared" si="2"/>
        <v>31.596666666666668</v>
      </c>
      <c r="F18" s="202">
        <f t="shared" si="2"/>
        <v>133.73444444444445</v>
      </c>
      <c r="G18" s="202">
        <f t="shared" si="2"/>
        <v>946.71444444444433</v>
      </c>
      <c r="H18" s="3"/>
      <c r="I18" s="3"/>
      <c r="J18" s="2"/>
      <c r="K18" s="1"/>
    </row>
    <row r="19" spans="1:11" x14ac:dyDescent="0.25">
      <c r="A19" s="234"/>
      <c r="B19" s="235"/>
      <c r="C19" s="235"/>
      <c r="D19" s="235"/>
      <c r="E19" s="235"/>
      <c r="F19" s="235"/>
      <c r="G19" s="235"/>
      <c r="H19" s="3"/>
      <c r="I19" s="3"/>
      <c r="J19" s="2"/>
      <c r="K19" s="1"/>
    </row>
    <row r="20" spans="1:11" x14ac:dyDescent="0.25">
      <c r="A20" s="232" t="s">
        <v>19</v>
      </c>
      <c r="B20" s="233"/>
      <c r="C20" s="114"/>
      <c r="D20" s="202">
        <f t="shared" ref="D20:G20" si="3">D10+D18</f>
        <v>50.591388888888886</v>
      </c>
      <c r="E20" s="202">
        <f t="shared" si="3"/>
        <v>53.617500000000007</v>
      </c>
      <c r="F20" s="202">
        <f t="shared" si="3"/>
        <v>226.36277777777778</v>
      </c>
      <c r="G20" s="202">
        <f t="shared" si="3"/>
        <v>1560.8186111111108</v>
      </c>
      <c r="H20" s="3"/>
      <c r="I20" s="3"/>
      <c r="J20" s="2"/>
      <c r="K20" s="1"/>
    </row>
  </sheetData>
  <mergeCells count="14">
    <mergeCell ref="A19:G19"/>
    <mergeCell ref="A20:B20"/>
    <mergeCell ref="A11:G11"/>
    <mergeCell ref="A2:B2"/>
    <mergeCell ref="G3:G4"/>
    <mergeCell ref="A1:C1"/>
    <mergeCell ref="D1:G1"/>
    <mergeCell ref="D2:G2"/>
    <mergeCell ref="A18:B18"/>
    <mergeCell ref="A10:B10"/>
    <mergeCell ref="A3:A4"/>
    <mergeCell ref="B3:B4"/>
    <mergeCell ref="C3:C4"/>
    <mergeCell ref="D3:F3"/>
  </mergeCells>
  <pageMargins left="0.7" right="0.7" top="0.75" bottom="0.75" header="0.3" footer="0.3"/>
  <pageSetup paperSize="9" scale="93" orientation="landscape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view="pageBreakPreview" topLeftCell="A4" zoomScaleNormal="110" zoomScaleSheetLayoutView="100" workbookViewId="0">
      <selection activeCell="L23" sqref="L23"/>
    </sheetView>
  </sheetViews>
  <sheetFormatPr defaultRowHeight="15" x14ac:dyDescent="0.25"/>
  <cols>
    <col min="1" max="1" width="13.4257812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8.5703125" customWidth="1"/>
    <col min="8" max="8" width="6.7109375" customWidth="1"/>
  </cols>
  <sheetData>
    <row r="1" spans="1:11" ht="15.75" x14ac:dyDescent="0.25">
      <c r="A1" s="216"/>
      <c r="B1" s="216"/>
      <c r="C1" s="216"/>
      <c r="D1" s="217"/>
      <c r="E1" s="217"/>
      <c r="F1" s="217"/>
      <c r="G1" s="217"/>
    </row>
    <row r="2" spans="1:11" ht="15.75" x14ac:dyDescent="0.25">
      <c r="A2" s="96" t="s">
        <v>96</v>
      </c>
      <c r="B2" s="96"/>
      <c r="C2" s="97"/>
      <c r="D2" s="218" t="s">
        <v>57</v>
      </c>
      <c r="E2" s="218"/>
      <c r="F2" s="218"/>
      <c r="G2" s="218"/>
    </row>
    <row r="3" spans="1:11" ht="18" customHeight="1" x14ac:dyDescent="0.25">
      <c r="A3" s="238" t="s">
        <v>0</v>
      </c>
      <c r="B3" s="238" t="s">
        <v>1</v>
      </c>
      <c r="C3" s="239" t="s">
        <v>2</v>
      </c>
      <c r="D3" s="238" t="s">
        <v>6</v>
      </c>
      <c r="E3" s="238"/>
      <c r="F3" s="238"/>
      <c r="G3" s="221" t="s">
        <v>72</v>
      </c>
      <c r="H3" s="242"/>
      <c r="I3" s="2"/>
      <c r="J3" s="2"/>
      <c r="K3" s="1"/>
    </row>
    <row r="4" spans="1:11" ht="42.75" customHeight="1" x14ac:dyDescent="0.25">
      <c r="A4" s="238"/>
      <c r="B4" s="238"/>
      <c r="C4" s="239"/>
      <c r="D4" s="14" t="s">
        <v>3</v>
      </c>
      <c r="E4" s="14" t="s">
        <v>4</v>
      </c>
      <c r="F4" s="14" t="s">
        <v>5</v>
      </c>
      <c r="G4" s="222"/>
      <c r="H4" s="242"/>
      <c r="I4" s="2"/>
      <c r="J4" s="2"/>
      <c r="K4" s="1"/>
    </row>
    <row r="5" spans="1:11" x14ac:dyDescent="0.25">
      <c r="A5" s="212" t="s">
        <v>9</v>
      </c>
      <c r="B5" s="214"/>
      <c r="C5" s="214"/>
      <c r="D5" s="214"/>
      <c r="E5" s="214"/>
      <c r="F5" s="214"/>
      <c r="G5" s="214"/>
      <c r="H5" s="10"/>
      <c r="I5" s="2"/>
      <c r="J5" s="2"/>
      <c r="K5" s="1"/>
    </row>
    <row r="6" spans="1:11" ht="15" customHeight="1" x14ac:dyDescent="0.25">
      <c r="A6" s="160" t="s">
        <v>53</v>
      </c>
      <c r="B6" s="177" t="s">
        <v>46</v>
      </c>
      <c r="C6" s="160">
        <v>150</v>
      </c>
      <c r="D6" s="171">
        <v>6.3</v>
      </c>
      <c r="E6" s="160">
        <v>8.2799999999999994</v>
      </c>
      <c r="F6" s="171">
        <v>30.06</v>
      </c>
      <c r="G6" s="160">
        <v>219.95999999999998</v>
      </c>
      <c r="H6" s="10"/>
      <c r="I6" s="3"/>
      <c r="J6" s="2"/>
      <c r="K6" s="1"/>
    </row>
    <row r="7" spans="1:11" s="136" customFormat="1" ht="15" customHeight="1" x14ac:dyDescent="0.25">
      <c r="A7" s="158" t="s">
        <v>79</v>
      </c>
      <c r="B7" s="177" t="s">
        <v>38</v>
      </c>
      <c r="C7" s="160">
        <v>50</v>
      </c>
      <c r="D7" s="182">
        <f>5.875/50*C7</f>
        <v>5.875</v>
      </c>
      <c r="E7" s="160">
        <f>8.85/50*C7</f>
        <v>8.85</v>
      </c>
      <c r="F7" s="182">
        <f>14.53/50*C7</f>
        <v>14.529999999999998</v>
      </c>
      <c r="G7" s="160">
        <f>156.08/50*C7</f>
        <v>156.08000000000001</v>
      </c>
      <c r="H7" s="119"/>
      <c r="I7" s="119"/>
      <c r="J7" s="118"/>
      <c r="K7" s="117"/>
    </row>
    <row r="8" spans="1:11" s="69" customFormat="1" x14ac:dyDescent="0.25">
      <c r="A8" s="158" t="s">
        <v>81</v>
      </c>
      <c r="B8" s="159" t="s">
        <v>37</v>
      </c>
      <c r="C8" s="160">
        <v>110</v>
      </c>
      <c r="D8" s="161">
        <f>4.1/150*C8</f>
        <v>3.0066666666666664</v>
      </c>
      <c r="E8" s="161">
        <f>0.95/150*C8</f>
        <v>0.69666666666666666</v>
      </c>
      <c r="F8" s="161">
        <f>25.95/150*C8</f>
        <v>19.029999999999998</v>
      </c>
      <c r="G8" s="161">
        <f>108.25/150*C8</f>
        <v>79.38333333333334</v>
      </c>
      <c r="H8" s="72"/>
      <c r="I8" s="72"/>
      <c r="J8" s="71"/>
      <c r="K8" s="70"/>
    </row>
    <row r="9" spans="1:11" x14ac:dyDescent="0.25">
      <c r="A9" s="54"/>
      <c r="B9" s="94" t="s">
        <v>7</v>
      </c>
      <c r="C9" s="93">
        <v>40</v>
      </c>
      <c r="D9" s="93">
        <f>C9*7.7/100</f>
        <v>3.08</v>
      </c>
      <c r="E9" s="95">
        <f>C9*0.8/100</f>
        <v>0.32</v>
      </c>
      <c r="F9" s="93">
        <f>C9*49.5/100</f>
        <v>19.8</v>
      </c>
      <c r="G9" s="95">
        <f t="shared" ref="G9" si="0">F9*4+E9*9+D9*4</f>
        <v>94.4</v>
      </c>
      <c r="H9" s="37"/>
      <c r="I9" s="3"/>
      <c r="J9" s="2"/>
      <c r="K9" s="1"/>
    </row>
    <row r="10" spans="1:11" x14ac:dyDescent="0.25">
      <c r="A10" s="156" t="s">
        <v>31</v>
      </c>
      <c r="B10" s="155" t="s">
        <v>29</v>
      </c>
      <c r="C10" s="156">
        <v>200</v>
      </c>
      <c r="D10" s="157">
        <v>3.8719999999999999</v>
      </c>
      <c r="E10" s="157">
        <v>3.8000000000000003</v>
      </c>
      <c r="F10" s="157">
        <v>13.092000000000001</v>
      </c>
      <c r="G10" s="157">
        <v>101.88</v>
      </c>
      <c r="H10" s="10"/>
      <c r="I10" s="3"/>
      <c r="J10" s="2"/>
      <c r="K10" s="1"/>
    </row>
    <row r="11" spans="1:11" x14ac:dyDescent="0.25">
      <c r="A11" s="237" t="s">
        <v>20</v>
      </c>
      <c r="B11" s="237"/>
      <c r="C11" s="22">
        <f>SUM(C6:C10)</f>
        <v>550</v>
      </c>
      <c r="D11" s="23">
        <f>SUM(D6:D10)</f>
        <v>22.133666666666667</v>
      </c>
      <c r="E11" s="22">
        <f>SUM(E6:E10)</f>
        <v>21.946666666666665</v>
      </c>
      <c r="F11" s="23">
        <f>SUM(F6:F10)</f>
        <v>96.511999999999986</v>
      </c>
      <c r="G11" s="23">
        <f>SUM(G6:G10)</f>
        <v>651.70333333333326</v>
      </c>
      <c r="H11" s="10"/>
      <c r="I11" s="3"/>
      <c r="J11" s="2" t="s">
        <v>8</v>
      </c>
      <c r="K11" s="1"/>
    </row>
    <row r="12" spans="1:11" x14ac:dyDescent="0.25">
      <c r="A12" s="212" t="s">
        <v>10</v>
      </c>
      <c r="B12" s="214"/>
      <c r="C12" s="214"/>
      <c r="D12" s="214"/>
      <c r="E12" s="214"/>
      <c r="F12" s="214"/>
      <c r="G12" s="214"/>
      <c r="H12" s="11"/>
      <c r="I12" s="3"/>
      <c r="J12" s="2"/>
      <c r="K12" s="1"/>
    </row>
    <row r="13" spans="1:11" x14ac:dyDescent="0.25">
      <c r="A13" s="18" t="s">
        <v>79</v>
      </c>
      <c r="B13" s="19" t="s">
        <v>107</v>
      </c>
      <c r="C13" s="18">
        <v>250</v>
      </c>
      <c r="D13" s="20">
        <v>3.2</v>
      </c>
      <c r="E13" s="20">
        <v>5.55</v>
      </c>
      <c r="F13" s="20">
        <v>35.130000000000003</v>
      </c>
      <c r="G13" s="20">
        <v>204.33</v>
      </c>
      <c r="H13" s="10"/>
      <c r="I13" s="3"/>
      <c r="J13" s="2"/>
      <c r="K13" s="1"/>
    </row>
    <row r="14" spans="1:11" x14ac:dyDescent="0.25">
      <c r="A14" s="131" t="s">
        <v>42</v>
      </c>
      <c r="B14" s="133" t="s">
        <v>41</v>
      </c>
      <c r="C14" s="131">
        <v>150</v>
      </c>
      <c r="D14" s="132">
        <f>C14*3.5/100</f>
        <v>5.25</v>
      </c>
      <c r="E14" s="132">
        <f>C14*4.1/100</f>
        <v>6.15</v>
      </c>
      <c r="F14" s="132">
        <f>C14*23.5/100</f>
        <v>35.25</v>
      </c>
      <c r="G14" s="132">
        <f>217.35/150*C14</f>
        <v>217.35000000000002</v>
      </c>
      <c r="H14" s="10"/>
      <c r="I14" s="3"/>
      <c r="J14" s="2"/>
      <c r="K14" s="1"/>
    </row>
    <row r="15" spans="1:11" x14ac:dyDescent="0.25">
      <c r="A15" s="168" t="s">
        <v>79</v>
      </c>
      <c r="B15" s="167" t="s">
        <v>47</v>
      </c>
      <c r="C15" s="168">
        <v>90</v>
      </c>
      <c r="D15" s="169">
        <f>C15*17.5/100</f>
        <v>15.75</v>
      </c>
      <c r="E15" s="169">
        <f>C15*16.9/100</f>
        <v>15.209999999999997</v>
      </c>
      <c r="F15" s="169">
        <f>C15*9/100</f>
        <v>8.1</v>
      </c>
      <c r="G15" s="169">
        <f>232.29/90*C15</f>
        <v>232.29</v>
      </c>
      <c r="H15" s="10"/>
      <c r="I15" s="3"/>
      <c r="J15" s="2"/>
      <c r="K15" s="9"/>
    </row>
    <row r="16" spans="1:11" x14ac:dyDescent="0.25">
      <c r="A16" s="18" t="s">
        <v>44</v>
      </c>
      <c r="B16" s="19" t="s">
        <v>25</v>
      </c>
      <c r="C16" s="18">
        <v>30</v>
      </c>
      <c r="D16" s="18">
        <f>C16*1.3/50</f>
        <v>0.78</v>
      </c>
      <c r="E16" s="18">
        <f>C16*4.8/50</f>
        <v>2.88</v>
      </c>
      <c r="F16" s="18">
        <f>C16*4.7/50</f>
        <v>2.82</v>
      </c>
      <c r="G16" s="18">
        <f t="shared" ref="G16" si="1">F16*4+E16*9+D16*4</f>
        <v>40.319999999999993</v>
      </c>
      <c r="H16" s="10"/>
      <c r="I16" s="3"/>
      <c r="J16" s="2"/>
      <c r="K16" s="1"/>
    </row>
    <row r="17" spans="1:11" x14ac:dyDescent="0.25">
      <c r="A17" s="18"/>
      <c r="B17" s="19" t="s">
        <v>7</v>
      </c>
      <c r="C17" s="18">
        <v>50</v>
      </c>
      <c r="D17" s="18">
        <f>C17*7.7/100</f>
        <v>3.85</v>
      </c>
      <c r="E17" s="20">
        <f>C17*0.8/100</f>
        <v>0.4</v>
      </c>
      <c r="F17" s="18">
        <f>C17*49.5/100</f>
        <v>24.75</v>
      </c>
      <c r="G17" s="20">
        <f t="shared" ref="G17" si="2">F17*4+E17*9+D17*4</f>
        <v>118</v>
      </c>
      <c r="H17" s="10"/>
      <c r="I17" s="3"/>
      <c r="J17" s="2"/>
      <c r="K17" s="1"/>
    </row>
    <row r="18" spans="1:11" x14ac:dyDescent="0.25">
      <c r="A18" s="83" t="s">
        <v>77</v>
      </c>
      <c r="B18" s="33" t="s">
        <v>78</v>
      </c>
      <c r="C18" s="83">
        <v>200</v>
      </c>
      <c r="D18" s="83">
        <f>0.16/200*C18</f>
        <v>0.16</v>
      </c>
      <c r="E18" s="83">
        <f>0.16/200*C18</f>
        <v>0.16</v>
      </c>
      <c r="F18" s="83">
        <f>23.88/200*C18</f>
        <v>23.88</v>
      </c>
      <c r="G18" s="83">
        <f>97.6/200*C18</f>
        <v>97.6</v>
      </c>
      <c r="H18" s="10"/>
      <c r="I18" s="3"/>
      <c r="J18" s="2"/>
      <c r="K18" s="1"/>
    </row>
    <row r="19" spans="1:11" x14ac:dyDescent="0.25">
      <c r="A19" s="237" t="s">
        <v>21</v>
      </c>
      <c r="B19" s="237"/>
      <c r="C19" s="103">
        <f>SUM(C13:C18)</f>
        <v>770</v>
      </c>
      <c r="D19" s="23">
        <f>SUM(D13:D18)</f>
        <v>28.990000000000002</v>
      </c>
      <c r="E19" s="22">
        <f>SUM(E13:E18)</f>
        <v>30.349999999999994</v>
      </c>
      <c r="F19" s="22">
        <f>SUM(F13:F18)</f>
        <v>129.92999999999998</v>
      </c>
      <c r="G19" s="22">
        <f>SUM(G13:G18)</f>
        <v>909.89</v>
      </c>
      <c r="H19" s="10"/>
      <c r="I19" s="3"/>
      <c r="J19" s="2"/>
      <c r="K19" s="1"/>
    </row>
    <row r="20" spans="1:11" x14ac:dyDescent="0.25">
      <c r="A20" s="240"/>
      <c r="B20" s="241"/>
      <c r="C20" s="241"/>
      <c r="D20" s="241"/>
      <c r="E20" s="241"/>
      <c r="F20" s="241"/>
      <c r="G20" s="241"/>
      <c r="H20" s="12"/>
      <c r="I20" s="3"/>
      <c r="J20" s="2"/>
      <c r="K20" s="1"/>
    </row>
    <row r="21" spans="1:11" x14ac:dyDescent="0.25">
      <c r="A21" s="237" t="s">
        <v>19</v>
      </c>
      <c r="B21" s="237"/>
      <c r="C21" s="18"/>
      <c r="D21" s="23">
        <f>D11+D19</f>
        <v>51.123666666666665</v>
      </c>
      <c r="E21" s="23">
        <f>E11+E19</f>
        <v>52.29666666666666</v>
      </c>
      <c r="F21" s="23">
        <f>F11+F19</f>
        <v>226.44199999999995</v>
      </c>
      <c r="G21" s="22">
        <f>G11+G19</f>
        <v>1561.5933333333332</v>
      </c>
      <c r="H21" s="10"/>
      <c r="I21" s="3"/>
      <c r="J21" s="2"/>
      <c r="K21" s="1"/>
    </row>
  </sheetData>
  <mergeCells count="15">
    <mergeCell ref="A1:C1"/>
    <mergeCell ref="D1:G1"/>
    <mergeCell ref="D2:G2"/>
    <mergeCell ref="H3:H4"/>
    <mergeCell ref="A11:B11"/>
    <mergeCell ref="D3:F3"/>
    <mergeCell ref="G3:G4"/>
    <mergeCell ref="A19:B19"/>
    <mergeCell ref="A21:B21"/>
    <mergeCell ref="A3:A4"/>
    <mergeCell ref="B3:B4"/>
    <mergeCell ref="C3:C4"/>
    <mergeCell ref="A5:G5"/>
    <mergeCell ref="A12:G12"/>
    <mergeCell ref="A20:G20"/>
  </mergeCells>
  <pageMargins left="0.375" right="0.7" top="0.75" bottom="0.75" header="0.3" footer="0.3"/>
  <pageSetup paperSize="9" scale="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10" zoomScaleSheetLayoutView="100" workbookViewId="0">
      <selection activeCell="K8" sqref="K8"/>
    </sheetView>
  </sheetViews>
  <sheetFormatPr defaultRowHeight="15" x14ac:dyDescent="0.25"/>
  <cols>
    <col min="1" max="1" width="9.85546875" customWidth="1"/>
    <col min="2" max="2" width="27.7109375" customWidth="1"/>
    <col min="3" max="3" width="7" customWidth="1"/>
    <col min="4" max="4" width="6.42578125" customWidth="1"/>
    <col min="5" max="5" width="5.85546875" customWidth="1"/>
    <col min="6" max="6" width="8.140625" customWidth="1"/>
    <col min="7" max="7" width="9.42578125" customWidth="1"/>
  </cols>
  <sheetData>
    <row r="1" spans="1:11" ht="15.75" x14ac:dyDescent="0.25">
      <c r="A1" s="216"/>
      <c r="B1" s="216"/>
      <c r="C1" s="216"/>
      <c r="D1" s="217"/>
      <c r="E1" s="217"/>
      <c r="F1" s="217"/>
      <c r="G1" s="217"/>
    </row>
    <row r="2" spans="1:11" ht="15.75" x14ac:dyDescent="0.25">
      <c r="A2" s="96" t="s">
        <v>96</v>
      </c>
      <c r="B2" s="96"/>
      <c r="C2" s="97"/>
      <c r="D2" s="218" t="s">
        <v>56</v>
      </c>
      <c r="E2" s="218"/>
      <c r="F2" s="218"/>
      <c r="G2" s="218"/>
    </row>
    <row r="3" spans="1:11" ht="18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2"/>
      <c r="I3" s="2"/>
      <c r="J3" s="2"/>
      <c r="K3" s="1"/>
    </row>
    <row r="4" spans="1:1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2"/>
      <c r="I4" s="2"/>
      <c r="J4" s="2"/>
      <c r="K4" s="1"/>
    </row>
    <row r="5" spans="1:11" x14ac:dyDescent="0.25">
      <c r="A5" s="15"/>
      <c r="B5" s="16"/>
      <c r="C5" s="16"/>
      <c r="D5" s="16"/>
      <c r="E5" s="16"/>
      <c r="F5" s="17" t="s">
        <v>9</v>
      </c>
      <c r="G5" s="16"/>
      <c r="H5" s="2"/>
      <c r="I5" s="2"/>
      <c r="J5" s="2"/>
      <c r="K5" s="1"/>
    </row>
    <row r="6" spans="1:11" ht="25.5" x14ac:dyDescent="0.25">
      <c r="A6" s="93" t="s">
        <v>79</v>
      </c>
      <c r="B6" s="86" t="s">
        <v>74</v>
      </c>
      <c r="C6" s="93">
        <v>160</v>
      </c>
      <c r="D6" s="95">
        <f>C6*9.6/100</f>
        <v>15.36</v>
      </c>
      <c r="E6" s="95">
        <f>15.4/150*C6</f>
        <v>16.426666666666666</v>
      </c>
      <c r="F6" s="95">
        <f>C6*28.2/100</f>
        <v>45.12</v>
      </c>
      <c r="G6" s="95">
        <f>420.4/150*C6</f>
        <v>448.42666666666668</v>
      </c>
      <c r="H6" s="3"/>
      <c r="I6" s="3"/>
      <c r="J6" s="2"/>
      <c r="K6" s="1"/>
    </row>
    <row r="7" spans="1:11" s="69" customFormat="1" x14ac:dyDescent="0.25">
      <c r="A7" s="93"/>
      <c r="B7" s="19" t="s">
        <v>43</v>
      </c>
      <c r="C7" s="18">
        <v>150</v>
      </c>
      <c r="D7" s="20">
        <f>0.9/150*C7</f>
        <v>0.9</v>
      </c>
      <c r="E7" s="20">
        <f>0.2/150*C7</f>
        <v>0.20000000000000004</v>
      </c>
      <c r="F7" s="20">
        <f>9.5/150*C7</f>
        <v>9.5</v>
      </c>
      <c r="G7" s="20">
        <f>23.4/150*C7</f>
        <v>23.4</v>
      </c>
      <c r="H7" s="72"/>
      <c r="I7" s="72"/>
      <c r="J7" s="71"/>
      <c r="K7" s="70"/>
    </row>
    <row r="8" spans="1:11" s="69" customFormat="1" x14ac:dyDescent="0.25">
      <c r="A8" s="141" t="s">
        <v>81</v>
      </c>
      <c r="B8" s="142" t="s">
        <v>69</v>
      </c>
      <c r="C8" s="141">
        <v>50</v>
      </c>
      <c r="D8" s="108">
        <f>1.42/40*C8</f>
        <v>1.7749999999999999</v>
      </c>
      <c r="E8" s="141">
        <f>1/40*C8</f>
        <v>1.25</v>
      </c>
      <c r="F8" s="108">
        <f>18.2/40*C8</f>
        <v>22.749999999999996</v>
      </c>
      <c r="G8" s="141">
        <f>58.84/40*C8</f>
        <v>73.550000000000011</v>
      </c>
      <c r="H8" s="72"/>
      <c r="I8" s="72"/>
      <c r="J8" s="71"/>
      <c r="K8" s="70"/>
    </row>
    <row r="9" spans="1:11" x14ac:dyDescent="0.25">
      <c r="A9" s="154" t="s">
        <v>18</v>
      </c>
      <c r="B9" s="152" t="s">
        <v>17</v>
      </c>
      <c r="C9" s="154">
        <v>200</v>
      </c>
      <c r="D9" s="153">
        <f>3.456/200*C9</f>
        <v>3.456</v>
      </c>
      <c r="E9" s="153">
        <f>3.776/200*C9</f>
        <v>3.7759999999999994</v>
      </c>
      <c r="F9" s="153">
        <f>13.284/200*C9</f>
        <v>13.284000000000001</v>
      </c>
      <c r="G9" s="153">
        <f>100.24/200*C9</f>
        <v>100.24</v>
      </c>
      <c r="H9" s="3"/>
      <c r="I9" s="3"/>
      <c r="J9" s="2"/>
      <c r="K9" s="1"/>
    </row>
    <row r="10" spans="1:11" x14ac:dyDescent="0.25">
      <c r="A10" s="212" t="s">
        <v>20</v>
      </c>
      <c r="B10" s="213"/>
      <c r="C10" s="22">
        <f t="shared" ref="C10:G10" si="0">SUM(C6:C9)</f>
        <v>560</v>
      </c>
      <c r="D10" s="22">
        <f t="shared" si="0"/>
        <v>21.490999999999996</v>
      </c>
      <c r="E10" s="22">
        <f t="shared" si="0"/>
        <v>21.652666666666665</v>
      </c>
      <c r="F10" s="23">
        <f t="shared" si="0"/>
        <v>90.653999999999996</v>
      </c>
      <c r="G10" s="23">
        <f t="shared" si="0"/>
        <v>645.61666666666667</v>
      </c>
      <c r="H10" s="3"/>
      <c r="I10" s="3"/>
      <c r="J10" s="2" t="s">
        <v>8</v>
      </c>
      <c r="K10" s="1"/>
    </row>
    <row r="11" spans="1:11" x14ac:dyDescent="0.25">
      <c r="A11" s="243" t="s">
        <v>10</v>
      </c>
      <c r="B11" s="244"/>
      <c r="C11" s="244"/>
      <c r="D11" s="244"/>
      <c r="E11" s="244"/>
      <c r="F11" s="244"/>
      <c r="G11" s="244"/>
      <c r="H11" s="3"/>
      <c r="I11" s="3"/>
      <c r="J11" s="2"/>
      <c r="K11" s="1"/>
    </row>
    <row r="12" spans="1:11" x14ac:dyDescent="0.25">
      <c r="A12" s="168"/>
      <c r="B12" s="187" t="s">
        <v>95</v>
      </c>
      <c r="C12" s="81">
        <v>40</v>
      </c>
      <c r="D12" s="81">
        <f>0.12/30*C12</f>
        <v>0.16</v>
      </c>
      <c r="E12" s="81">
        <v>0</v>
      </c>
      <c r="F12" s="81">
        <f>22.8/30*C12</f>
        <v>30.4</v>
      </c>
      <c r="G12" s="81">
        <f>87.9/30*C12</f>
        <v>117.2</v>
      </c>
      <c r="H12" s="3"/>
      <c r="I12" s="3"/>
      <c r="J12" s="2"/>
      <c r="K12" s="1"/>
    </row>
    <row r="13" spans="1:11" x14ac:dyDescent="0.25">
      <c r="A13" s="87" t="s">
        <v>11</v>
      </c>
      <c r="B13" s="88" t="s">
        <v>98</v>
      </c>
      <c r="C13" s="87">
        <v>250</v>
      </c>
      <c r="D13" s="89">
        <v>6.52</v>
      </c>
      <c r="E13" s="89">
        <v>10.4</v>
      </c>
      <c r="F13" s="89">
        <v>13.9</v>
      </c>
      <c r="G13" s="89">
        <v>218.88</v>
      </c>
      <c r="H13" s="3"/>
      <c r="I13" s="3"/>
      <c r="J13" s="2"/>
      <c r="K13" s="1"/>
    </row>
    <row r="14" spans="1:11" ht="25.5" x14ac:dyDescent="0.25">
      <c r="A14" s="84" t="s">
        <v>79</v>
      </c>
      <c r="B14" s="85" t="s">
        <v>68</v>
      </c>
      <c r="C14" s="84">
        <v>200</v>
      </c>
      <c r="D14" s="73">
        <f>21.4/250*C14</f>
        <v>17.119999999999997</v>
      </c>
      <c r="E14" s="73">
        <f>24.5/250*C14</f>
        <v>19.600000000000001</v>
      </c>
      <c r="F14" s="203">
        <f>41.28/250*C14</f>
        <v>33.024000000000001</v>
      </c>
      <c r="G14" s="73">
        <f>420/250*C14</f>
        <v>336</v>
      </c>
      <c r="H14" s="3"/>
      <c r="I14" s="3"/>
      <c r="J14" s="2"/>
      <c r="K14" s="1"/>
    </row>
    <row r="15" spans="1:11" x14ac:dyDescent="0.25">
      <c r="A15" s="78"/>
      <c r="B15" s="68" t="s">
        <v>7</v>
      </c>
      <c r="C15" s="78">
        <v>40</v>
      </c>
      <c r="D15" s="78">
        <f>C15*7.7/100</f>
        <v>3.08</v>
      </c>
      <c r="E15" s="79">
        <f>C15*0.8/100</f>
        <v>0.32</v>
      </c>
      <c r="F15" s="78">
        <f>C15*49.5/100</f>
        <v>19.8</v>
      </c>
      <c r="G15" s="79">
        <f t="shared" ref="G15:G16" si="1">F15*4+E15*9+D15*4</f>
        <v>94.4</v>
      </c>
      <c r="H15" s="3"/>
      <c r="I15" s="3"/>
      <c r="J15" s="2"/>
      <c r="K15" s="1"/>
    </row>
    <row r="16" spans="1:11" x14ac:dyDescent="0.25">
      <c r="A16" s="18"/>
      <c r="B16" s="19" t="s">
        <v>14</v>
      </c>
      <c r="C16" s="18">
        <v>40</v>
      </c>
      <c r="D16" s="18">
        <f>C16*6.6/100</f>
        <v>2.64</v>
      </c>
      <c r="E16" s="18">
        <f>C16*1.1/100</f>
        <v>0.44</v>
      </c>
      <c r="F16" s="18">
        <f>C16*43.9/100</f>
        <v>17.559999999999999</v>
      </c>
      <c r="G16" s="18">
        <f t="shared" si="1"/>
        <v>84.759999999999991</v>
      </c>
      <c r="H16" s="3"/>
      <c r="I16" s="3"/>
      <c r="J16" s="2"/>
      <c r="K16" s="1"/>
    </row>
    <row r="17" spans="1:11" x14ac:dyDescent="0.25">
      <c r="A17" s="123" t="s">
        <v>45</v>
      </c>
      <c r="B17" s="126" t="s">
        <v>30</v>
      </c>
      <c r="C17" s="123">
        <v>200</v>
      </c>
      <c r="D17" s="124">
        <f>0.2/200*C17</f>
        <v>0.2</v>
      </c>
      <c r="E17" s="125">
        <f>0/200*C17</f>
        <v>0</v>
      </c>
      <c r="F17" s="124">
        <f>14/200*C17</f>
        <v>14.000000000000002</v>
      </c>
      <c r="G17" s="124">
        <f>F17*4+E17*9+D17*4</f>
        <v>56.800000000000004</v>
      </c>
      <c r="H17" s="3"/>
      <c r="I17" s="3"/>
      <c r="J17" s="2"/>
      <c r="K17" s="1"/>
    </row>
    <row r="18" spans="1:11" x14ac:dyDescent="0.25">
      <c r="A18" s="212" t="s">
        <v>21</v>
      </c>
      <c r="B18" s="213"/>
      <c r="C18" s="102">
        <f t="shared" ref="C18:G18" si="2">SUM(C12:C17)</f>
        <v>770</v>
      </c>
      <c r="D18" s="23">
        <f t="shared" si="2"/>
        <v>29.719999999999995</v>
      </c>
      <c r="E18" s="23">
        <f t="shared" si="2"/>
        <v>30.76</v>
      </c>
      <c r="F18" s="23">
        <f t="shared" si="2"/>
        <v>128.684</v>
      </c>
      <c r="G18" s="22">
        <f t="shared" si="2"/>
        <v>908.03999999999985</v>
      </c>
      <c r="H18" s="3"/>
      <c r="I18" s="3"/>
      <c r="J18" s="2"/>
      <c r="K18" s="1"/>
    </row>
    <row r="19" spans="1:11" x14ac:dyDescent="0.25">
      <c r="A19" s="210"/>
      <c r="B19" s="211"/>
      <c r="C19" s="211"/>
      <c r="D19" s="211"/>
      <c r="E19" s="211"/>
      <c r="F19" s="211"/>
      <c r="G19" s="211"/>
      <c r="H19" s="3"/>
      <c r="I19" s="3"/>
      <c r="J19" s="2"/>
      <c r="K19" s="1"/>
    </row>
    <row r="20" spans="1:11" x14ac:dyDescent="0.25">
      <c r="A20" s="212" t="s">
        <v>19</v>
      </c>
      <c r="B20" s="213"/>
      <c r="C20" s="18"/>
      <c r="D20" s="23">
        <f t="shared" ref="D20:G20" si="3">D10+D18</f>
        <v>51.210999999999991</v>
      </c>
      <c r="E20" s="23">
        <f t="shared" si="3"/>
        <v>52.412666666666667</v>
      </c>
      <c r="F20" s="23">
        <f t="shared" si="3"/>
        <v>219.33799999999999</v>
      </c>
      <c r="G20" s="22">
        <f t="shared" si="3"/>
        <v>1553.6566666666665</v>
      </c>
      <c r="H20" s="3"/>
      <c r="I20" s="3"/>
      <c r="J20" s="2"/>
      <c r="K20" s="1"/>
    </row>
  </sheetData>
  <mergeCells count="13">
    <mergeCell ref="A1:C1"/>
    <mergeCell ref="D1:G1"/>
    <mergeCell ref="D2:G2"/>
    <mergeCell ref="A20:B20"/>
    <mergeCell ref="A3:A4"/>
    <mergeCell ref="B3:B4"/>
    <mergeCell ref="C3:C4"/>
    <mergeCell ref="D3:F3"/>
    <mergeCell ref="A10:B10"/>
    <mergeCell ref="A11:G11"/>
    <mergeCell ref="A18:B18"/>
    <mergeCell ref="A19:G19"/>
    <mergeCell ref="G3:G4"/>
  </mergeCells>
  <pageMargins left="0.7" right="0.7" top="0.75" bottom="0.75" header="0.3" footer="0.3"/>
  <pageSetup paperSize="9" scale="97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110" zoomScaleSheetLayoutView="100" workbookViewId="0">
      <selection activeCell="K13" sqref="K13"/>
    </sheetView>
  </sheetViews>
  <sheetFormatPr defaultRowHeight="15" x14ac:dyDescent="0.25"/>
  <cols>
    <col min="1" max="1" width="9.85546875" customWidth="1"/>
    <col min="2" max="2" width="27.140625" customWidth="1"/>
    <col min="3" max="3" width="8" customWidth="1"/>
    <col min="4" max="4" width="7.7109375" customWidth="1"/>
    <col min="5" max="5" width="7" customWidth="1"/>
    <col min="7" max="7" width="9.28515625" customWidth="1"/>
  </cols>
  <sheetData>
    <row r="1" spans="1:11" ht="15.75" x14ac:dyDescent="0.25">
      <c r="A1" s="216"/>
      <c r="B1" s="216"/>
      <c r="C1" s="216"/>
      <c r="D1" s="217"/>
      <c r="E1" s="217"/>
      <c r="F1" s="217"/>
      <c r="G1" s="217"/>
    </row>
    <row r="2" spans="1:11" ht="15.75" x14ac:dyDescent="0.25">
      <c r="A2" s="96" t="s">
        <v>96</v>
      </c>
      <c r="B2" s="96"/>
      <c r="C2" s="97"/>
      <c r="D2" s="218" t="s">
        <v>58</v>
      </c>
      <c r="E2" s="218"/>
      <c r="F2" s="218"/>
      <c r="G2" s="218"/>
    </row>
    <row r="3" spans="1:11" ht="18" customHeight="1" x14ac:dyDescent="0.25">
      <c r="A3" s="219" t="s">
        <v>0</v>
      </c>
      <c r="B3" s="219" t="s">
        <v>1</v>
      </c>
      <c r="C3" s="221" t="s">
        <v>2</v>
      </c>
      <c r="D3" s="223" t="s">
        <v>6</v>
      </c>
      <c r="E3" s="224"/>
      <c r="F3" s="225"/>
      <c r="G3" s="221" t="s">
        <v>72</v>
      </c>
      <c r="H3" s="13"/>
      <c r="I3" s="2"/>
      <c r="J3" s="2"/>
      <c r="K3" s="1"/>
    </row>
    <row r="4" spans="1:11" x14ac:dyDescent="0.25">
      <c r="A4" s="220"/>
      <c r="B4" s="220"/>
      <c r="C4" s="222"/>
      <c r="D4" s="14" t="s">
        <v>3</v>
      </c>
      <c r="E4" s="14" t="s">
        <v>4</v>
      </c>
      <c r="F4" s="14" t="s">
        <v>5</v>
      </c>
      <c r="G4" s="222"/>
      <c r="H4" s="13"/>
      <c r="I4" s="2"/>
      <c r="J4" s="2"/>
      <c r="K4" s="1"/>
    </row>
    <row r="5" spans="1:11" x14ac:dyDescent="0.25">
      <c r="A5" s="15"/>
      <c r="B5" s="16"/>
      <c r="C5" s="16"/>
      <c r="D5" s="16"/>
      <c r="E5" s="16"/>
      <c r="F5" s="17" t="s">
        <v>9</v>
      </c>
      <c r="G5" s="16"/>
      <c r="H5" s="13"/>
      <c r="I5" s="2"/>
      <c r="J5" s="2"/>
      <c r="K5" s="1"/>
    </row>
    <row r="6" spans="1:11" ht="25.5" x14ac:dyDescent="0.25">
      <c r="A6" s="18" t="s">
        <v>34</v>
      </c>
      <c r="B6" s="24" t="s">
        <v>33</v>
      </c>
      <c r="C6" s="18">
        <v>200</v>
      </c>
      <c r="D6" s="20">
        <f>C6*3.4/100</f>
        <v>6.8</v>
      </c>
      <c r="E6" s="20">
        <f>C6*4.5/100</f>
        <v>9</v>
      </c>
      <c r="F6" s="20">
        <f>C6*16/100</f>
        <v>32</v>
      </c>
      <c r="G6" s="20">
        <f>221/200*C6</f>
        <v>221</v>
      </c>
      <c r="H6" s="10"/>
      <c r="I6" s="3"/>
      <c r="J6" s="2"/>
      <c r="K6" s="1"/>
    </row>
    <row r="7" spans="1:11" ht="25.5" x14ac:dyDescent="0.25">
      <c r="A7" s="55" t="s">
        <v>54</v>
      </c>
      <c r="B7" s="40" t="s">
        <v>55</v>
      </c>
      <c r="C7" s="55">
        <v>55</v>
      </c>
      <c r="D7" s="56">
        <f>2.45/40*C7</f>
        <v>3.3687500000000004</v>
      </c>
      <c r="E7" s="56">
        <f>8.55/40*C7</f>
        <v>11.756250000000001</v>
      </c>
      <c r="F7" s="56">
        <f>14.62/40*C7</f>
        <v>20.102499999999999</v>
      </c>
      <c r="G7" s="56">
        <f>155.23/40*C7</f>
        <v>213.44125</v>
      </c>
      <c r="H7" s="10"/>
      <c r="I7" s="3"/>
      <c r="J7" s="2"/>
      <c r="K7" s="1"/>
    </row>
    <row r="8" spans="1:11" s="69" customFormat="1" x14ac:dyDescent="0.25">
      <c r="A8" s="55"/>
      <c r="B8" s="19" t="s">
        <v>35</v>
      </c>
      <c r="C8" s="18">
        <v>100</v>
      </c>
      <c r="D8" s="20">
        <f>C8*6.1/100</f>
        <v>6.1</v>
      </c>
      <c r="E8" s="20">
        <f>C8*0.2/100</f>
        <v>0.2</v>
      </c>
      <c r="F8" s="20">
        <f>C8*3.8/100</f>
        <v>3.8</v>
      </c>
      <c r="G8" s="20">
        <f>F8*4+E8*9+D8*4</f>
        <v>41.4</v>
      </c>
      <c r="H8" s="72"/>
      <c r="I8" s="72"/>
      <c r="J8" s="71"/>
      <c r="K8" s="70"/>
    </row>
    <row r="9" spans="1:11" x14ac:dyDescent="0.25">
      <c r="A9" s="54"/>
      <c r="B9" s="94" t="s">
        <v>7</v>
      </c>
      <c r="C9" s="93">
        <v>50</v>
      </c>
      <c r="D9" s="93">
        <f>C9*7.7/100</f>
        <v>3.85</v>
      </c>
      <c r="E9" s="95">
        <f>C9*0.8/100</f>
        <v>0.4</v>
      </c>
      <c r="F9" s="93">
        <f>C9*49.5/100</f>
        <v>24.75</v>
      </c>
      <c r="G9" s="95">
        <f>F9*4+E9*9+D9*4</f>
        <v>118</v>
      </c>
      <c r="H9" s="37"/>
      <c r="I9" s="3"/>
      <c r="J9" s="2"/>
      <c r="K9" s="1"/>
    </row>
    <row r="10" spans="1:11" x14ac:dyDescent="0.25">
      <c r="A10" s="123" t="s">
        <v>45</v>
      </c>
      <c r="B10" s="126" t="s">
        <v>30</v>
      </c>
      <c r="C10" s="123">
        <v>200</v>
      </c>
      <c r="D10" s="124">
        <f>0.2/200*C10</f>
        <v>0.2</v>
      </c>
      <c r="E10" s="125">
        <f>0/200*C10</f>
        <v>0</v>
      </c>
      <c r="F10" s="124">
        <f>14/200*C10</f>
        <v>14.000000000000002</v>
      </c>
      <c r="G10" s="124">
        <f>F10*4+E10*9+D10*4</f>
        <v>56.800000000000004</v>
      </c>
      <c r="H10" s="10"/>
      <c r="I10" s="3"/>
      <c r="J10" s="2"/>
      <c r="K10" s="1"/>
    </row>
    <row r="11" spans="1:11" x14ac:dyDescent="0.25">
      <c r="A11" s="212" t="s">
        <v>20</v>
      </c>
      <c r="B11" s="213"/>
      <c r="C11" s="22">
        <f>SUM(C6:C10)</f>
        <v>605</v>
      </c>
      <c r="D11" s="23">
        <f>SUM(D6:D10)</f>
        <v>20.318749999999998</v>
      </c>
      <c r="E11" s="23">
        <f t="shared" ref="E11:G11" si="0">SUM(E6:E10)</f>
        <v>21.356249999999999</v>
      </c>
      <c r="F11" s="23">
        <f>SUM(F6:F10)</f>
        <v>94.652500000000003</v>
      </c>
      <c r="G11" s="23">
        <f t="shared" si="0"/>
        <v>650.6412499999999</v>
      </c>
      <c r="H11" s="10"/>
      <c r="I11" s="3"/>
      <c r="J11" s="2" t="s">
        <v>8</v>
      </c>
      <c r="K11" s="1"/>
    </row>
    <row r="12" spans="1:11" x14ac:dyDescent="0.25">
      <c r="A12" s="212" t="s">
        <v>10</v>
      </c>
      <c r="B12" s="214"/>
      <c r="C12" s="214"/>
      <c r="D12" s="214"/>
      <c r="E12" s="214"/>
      <c r="F12" s="214"/>
      <c r="G12" s="214"/>
      <c r="H12" s="10"/>
      <c r="I12" s="3"/>
      <c r="J12" s="2"/>
      <c r="K12" s="1"/>
    </row>
    <row r="13" spans="1:11" x14ac:dyDescent="0.25">
      <c r="A13" s="18"/>
      <c r="H13" s="10"/>
      <c r="I13" s="3"/>
      <c r="J13" s="2"/>
      <c r="K13" s="1"/>
    </row>
    <row r="14" spans="1:11" ht="25.5" x14ac:dyDescent="0.25">
      <c r="A14" s="18" t="s">
        <v>62</v>
      </c>
      <c r="B14" s="24" t="s">
        <v>108</v>
      </c>
      <c r="C14" s="18">
        <v>200</v>
      </c>
      <c r="D14" s="20">
        <f>6.62/250*C14</f>
        <v>5.2960000000000003</v>
      </c>
      <c r="E14" s="20">
        <f>5.7/250*C14</f>
        <v>4.5600000000000005</v>
      </c>
      <c r="F14" s="20">
        <f>21/250*C14</f>
        <v>16.8</v>
      </c>
      <c r="G14" s="20">
        <f>141.7/250*C14</f>
        <v>113.36</v>
      </c>
      <c r="H14" s="10"/>
      <c r="I14" s="3"/>
      <c r="J14" s="2"/>
      <c r="K14" s="9"/>
    </row>
    <row r="15" spans="1:11" x14ac:dyDescent="0.25">
      <c r="A15" s="128" t="s">
        <v>79</v>
      </c>
      <c r="B15" s="127" t="s">
        <v>85</v>
      </c>
      <c r="C15" s="128">
        <v>200</v>
      </c>
      <c r="D15" s="204">
        <f>20.25/250*C15</f>
        <v>16.2</v>
      </c>
      <c r="E15" s="204">
        <f>22.56/250*C15</f>
        <v>18.048000000000002</v>
      </c>
      <c r="F15" s="204">
        <f>56.76/250*C15</f>
        <v>45.408000000000001</v>
      </c>
      <c r="G15" s="204">
        <f>510.72/250*C15</f>
        <v>408.57600000000002</v>
      </c>
      <c r="H15" s="10"/>
      <c r="I15" s="3"/>
      <c r="J15" s="2"/>
      <c r="K15" s="1"/>
    </row>
    <row r="16" spans="1:11" x14ac:dyDescent="0.25">
      <c r="A16" s="66" t="s">
        <v>83</v>
      </c>
      <c r="B16" s="65" t="s">
        <v>70</v>
      </c>
      <c r="C16" s="63">
        <v>100</v>
      </c>
      <c r="D16" s="67">
        <v>2.8</v>
      </c>
      <c r="E16" s="64">
        <v>6</v>
      </c>
      <c r="F16" s="64">
        <v>4.2</v>
      </c>
      <c r="G16" s="64">
        <v>94</v>
      </c>
      <c r="H16" s="10"/>
      <c r="I16" s="3"/>
      <c r="J16" s="2"/>
      <c r="K16" s="1"/>
    </row>
    <row r="17" spans="1:11" x14ac:dyDescent="0.25">
      <c r="A17" s="18"/>
      <c r="B17" s="19" t="s">
        <v>7</v>
      </c>
      <c r="C17" s="18">
        <v>30</v>
      </c>
      <c r="D17" s="18">
        <f>C17*7.7/100</f>
        <v>2.31</v>
      </c>
      <c r="E17" s="20">
        <f>C17*0.8/100</f>
        <v>0.24</v>
      </c>
      <c r="F17" s="18">
        <f>C17*49.5/100</f>
        <v>14.85</v>
      </c>
      <c r="G17" s="20">
        <f>F17*4+E17*9+D17*4</f>
        <v>70.8</v>
      </c>
      <c r="H17" s="10"/>
      <c r="I17" s="3"/>
      <c r="J17" s="2"/>
      <c r="K17" s="1"/>
    </row>
    <row r="18" spans="1:11" x14ac:dyDescent="0.25">
      <c r="A18" s="18"/>
      <c r="B18" s="19" t="s">
        <v>14</v>
      </c>
      <c r="C18" s="18">
        <v>40</v>
      </c>
      <c r="D18" s="18">
        <f>C18*6.6/100</f>
        <v>2.64</v>
      </c>
      <c r="E18" s="18">
        <f>C18*1.1/100</f>
        <v>0.44</v>
      </c>
      <c r="F18" s="18">
        <f>C18*43.9/100</f>
        <v>17.559999999999999</v>
      </c>
      <c r="G18" s="18">
        <f>F18*4+E18*9+D18*4</f>
        <v>84.759999999999991</v>
      </c>
      <c r="H18" s="10"/>
      <c r="I18" s="3"/>
      <c r="J18" s="2"/>
      <c r="K18" s="1"/>
    </row>
    <row r="19" spans="1:11" x14ac:dyDescent="0.25">
      <c r="A19" s="18" t="s">
        <v>32</v>
      </c>
      <c r="B19" s="19" t="s">
        <v>15</v>
      </c>
      <c r="C19" s="168">
        <v>200</v>
      </c>
      <c r="D19" s="169">
        <f>0.6/200*C19</f>
        <v>0.6</v>
      </c>
      <c r="E19" s="170">
        <f>0/200*C19</f>
        <v>0</v>
      </c>
      <c r="F19" s="169">
        <f>31.4/200*C19</f>
        <v>31.4</v>
      </c>
      <c r="G19" s="170">
        <f>128/200*C19</f>
        <v>128</v>
      </c>
      <c r="H19" s="10"/>
      <c r="I19" s="3"/>
      <c r="J19" s="2"/>
      <c r="K19" s="1"/>
    </row>
    <row r="20" spans="1:11" x14ac:dyDescent="0.25">
      <c r="A20" s="212" t="s">
        <v>21</v>
      </c>
      <c r="B20" s="213"/>
      <c r="C20" s="103">
        <f t="shared" ref="C20:G20" si="1">SUM(C14:C19)</f>
        <v>770</v>
      </c>
      <c r="D20" s="23">
        <f t="shared" si="1"/>
        <v>29.846</v>
      </c>
      <c r="E20" s="23">
        <f t="shared" si="1"/>
        <v>29.288000000000004</v>
      </c>
      <c r="F20" s="23">
        <f t="shared" si="1"/>
        <v>130.21799999999999</v>
      </c>
      <c r="G20" s="23">
        <f t="shared" si="1"/>
        <v>899.49599999999998</v>
      </c>
      <c r="H20" s="10"/>
      <c r="I20" s="3"/>
      <c r="J20" s="2"/>
      <c r="K20" s="1"/>
    </row>
    <row r="21" spans="1:11" x14ac:dyDescent="0.25">
      <c r="A21" s="210"/>
      <c r="B21" s="211"/>
      <c r="C21" s="211"/>
      <c r="D21" s="211"/>
      <c r="E21" s="211"/>
      <c r="F21" s="211"/>
      <c r="G21" s="211"/>
      <c r="H21" s="10"/>
      <c r="I21" s="3"/>
      <c r="J21" s="2"/>
      <c r="K21" s="1"/>
    </row>
    <row r="22" spans="1:11" x14ac:dyDescent="0.25">
      <c r="A22" s="212" t="s">
        <v>19</v>
      </c>
      <c r="B22" s="213"/>
      <c r="C22" s="18"/>
      <c r="D22" s="23">
        <f t="shared" ref="D22:G22" si="2">D11+D20</f>
        <v>50.164749999999998</v>
      </c>
      <c r="E22" s="23">
        <f t="shared" si="2"/>
        <v>50.64425</v>
      </c>
      <c r="F22" s="23">
        <f t="shared" si="2"/>
        <v>224.87049999999999</v>
      </c>
      <c r="G22" s="22">
        <f t="shared" si="2"/>
        <v>1550.1372499999998</v>
      </c>
      <c r="H22" s="10"/>
      <c r="I22" s="3"/>
      <c r="J22" s="2"/>
      <c r="K22" s="1"/>
    </row>
  </sheetData>
  <mergeCells count="13">
    <mergeCell ref="A1:C1"/>
    <mergeCell ref="D1:G1"/>
    <mergeCell ref="D2:G2"/>
    <mergeCell ref="A22:B22"/>
    <mergeCell ref="A3:A4"/>
    <mergeCell ref="B3:B4"/>
    <mergeCell ref="C3:C4"/>
    <mergeCell ref="D3:F3"/>
    <mergeCell ref="A11:B11"/>
    <mergeCell ref="A12:G12"/>
    <mergeCell ref="A20:B20"/>
    <mergeCell ref="A21:G21"/>
    <mergeCell ref="G3:G4"/>
  </mergeCells>
  <pageMargins left="0.5208333333333333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11</vt:i4>
      </vt:variant>
    </vt:vector>
  </HeadingPairs>
  <TitlesOfParts>
    <vt:vector size="24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Лист1</vt:lpstr>
      <vt:lpstr>'День 1'!Область_печати</vt:lpstr>
      <vt:lpstr>'День 10'!Область_печати</vt:lpstr>
      <vt:lpstr>'День 11'!Область_печати</vt:lpstr>
      <vt:lpstr>'День 12'!Область_печати</vt:lpstr>
      <vt:lpstr>'День 2'!Область_печати</vt:lpstr>
      <vt:lpstr>'День 4'!Область_печати</vt:lpstr>
      <vt:lpstr>'День 5'!Область_печати</vt:lpstr>
      <vt:lpstr>'День 6'!Область_печати</vt:lpstr>
      <vt:lpstr>'День 7'!Область_печати</vt:lpstr>
      <vt:lpstr>'День 8'!Область_печати</vt:lpstr>
      <vt:lpstr>'День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2023-05-12T11:06:11Z</dcterms:modified>
</cp:coreProperties>
</file>