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885" windowWidth="15120" windowHeight="7230" tabRatio="696"/>
  </bookViews>
  <sheets>
    <sheet name="День 1" sheetId="2" r:id="rId1"/>
    <sheet name="День 2" sheetId="4" r:id="rId2"/>
    <sheet name="День 3" sheetId="5" r:id="rId3"/>
    <sheet name="День 4" sheetId="6" r:id="rId4"/>
    <sheet name="День 5" sheetId="8" r:id="rId5"/>
    <sheet name="День 6" sheetId="9" r:id="rId6"/>
    <sheet name="День 7" sheetId="10" r:id="rId7"/>
    <sheet name="День 8" sheetId="11" r:id="rId8"/>
    <sheet name="День 9" sheetId="12" r:id="rId9"/>
    <sheet name="День 10" sheetId="13" r:id="rId10"/>
    <sheet name="День 11" sheetId="14" r:id="rId11"/>
    <sheet name="День 12" sheetId="15" r:id="rId12"/>
    <sheet name="Лист1" sheetId="16" r:id="rId13"/>
  </sheets>
  <definedNames>
    <definedName name="_xlnm.Print_Area" localSheetId="0">'День 1'!$A$1:$G$14</definedName>
    <definedName name="_xlnm.Print_Area" localSheetId="9">'День 10'!$A$1:$H$17</definedName>
    <definedName name="_xlnm.Print_Area" localSheetId="10">'День 11'!$A$1:$J$17</definedName>
    <definedName name="_xlnm.Print_Area" localSheetId="11">'День 12'!$A$1:$I$13</definedName>
    <definedName name="_xlnm.Print_Area" localSheetId="1">'День 2'!$A$1:$H$17</definedName>
    <definedName name="_xlnm.Print_Area" localSheetId="3">'День 4'!$A$1:$H$17</definedName>
    <definedName name="_xlnm.Print_Area" localSheetId="4">'День 5'!$A$1:$G$17</definedName>
    <definedName name="_xlnm.Print_Area" localSheetId="5">'День 6'!$A$1:$J$16</definedName>
    <definedName name="_xlnm.Print_Area" localSheetId="6">'День 7'!$A$1:$H$18</definedName>
    <definedName name="_xlnm.Print_Area" localSheetId="7">'День 8'!$A$1:$H$12</definedName>
    <definedName name="_xlnm.Print_Area" localSheetId="8">'День 9'!$A$1:$H$15</definedName>
  </definedNames>
  <calcPr calcId="145621"/>
</workbook>
</file>

<file path=xl/calcChain.xml><?xml version="1.0" encoding="utf-8"?>
<calcChain xmlns="http://schemas.openxmlformats.org/spreadsheetml/2006/main">
  <c r="G9" i="14" l="1"/>
  <c r="G7" i="12"/>
  <c r="G9" i="10"/>
  <c r="G8" i="13"/>
  <c r="G6" i="15" l="1"/>
  <c r="G8" i="15"/>
  <c r="G13" i="13"/>
  <c r="G7" i="13"/>
  <c r="G6" i="12"/>
  <c r="G6" i="10"/>
  <c r="G9" i="9"/>
  <c r="G7" i="8"/>
  <c r="G8" i="8"/>
  <c r="G6" i="8"/>
  <c r="G8" i="6"/>
  <c r="G8" i="5"/>
  <c r="G12" i="5" s="1"/>
  <c r="G9" i="4"/>
  <c r="F8" i="5"/>
  <c r="F7" i="12"/>
  <c r="F8" i="13"/>
  <c r="F8" i="15"/>
  <c r="F7" i="13"/>
  <c r="F9" i="9"/>
  <c r="F7" i="9"/>
  <c r="F7" i="8"/>
  <c r="F8" i="6"/>
  <c r="G10" i="11"/>
  <c r="F10" i="11"/>
  <c r="E10" i="11"/>
  <c r="D10" i="11"/>
  <c r="F9" i="11"/>
  <c r="E9" i="11"/>
  <c r="D9" i="11"/>
  <c r="G8" i="11"/>
  <c r="F8" i="11"/>
  <c r="E8" i="11"/>
  <c r="D8" i="11"/>
  <c r="G7" i="11"/>
  <c r="F7" i="11"/>
  <c r="E7" i="11"/>
  <c r="D7" i="11"/>
  <c r="G6" i="11"/>
  <c r="F6" i="11"/>
  <c r="E6" i="11"/>
  <c r="D6" i="11"/>
  <c r="G11" i="2"/>
  <c r="C11" i="2"/>
  <c r="G10" i="2"/>
  <c r="F10" i="2"/>
  <c r="E10" i="2"/>
  <c r="D10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9" i="11" l="1"/>
  <c r="G9" i="2"/>
  <c r="F6" i="5" l="1"/>
  <c r="E9" i="10"/>
  <c r="E8" i="6"/>
  <c r="G7" i="6"/>
  <c r="F6" i="10"/>
  <c r="E6" i="10"/>
  <c r="D6" i="10"/>
  <c r="G8" i="9"/>
  <c r="D6" i="9"/>
  <c r="E6" i="9"/>
  <c r="F6" i="9"/>
  <c r="G6" i="9"/>
  <c r="D9" i="8"/>
  <c r="E9" i="8"/>
  <c r="F9" i="8"/>
  <c r="G9" i="8" l="1"/>
  <c r="E8" i="15" l="1"/>
  <c r="D8" i="15"/>
  <c r="D6" i="15"/>
  <c r="F6" i="15"/>
  <c r="E6" i="15"/>
  <c r="G7" i="15"/>
  <c r="F7" i="15"/>
  <c r="E7" i="15"/>
  <c r="D7" i="15"/>
  <c r="E9" i="14" l="1"/>
  <c r="F6" i="14"/>
  <c r="D6" i="14"/>
  <c r="E6" i="14"/>
  <c r="G11" i="14"/>
  <c r="F11" i="14"/>
  <c r="E11" i="14"/>
  <c r="D11" i="14"/>
  <c r="F8" i="14"/>
  <c r="E8" i="14"/>
  <c r="D8" i="14"/>
  <c r="D9" i="14"/>
  <c r="F9" i="14"/>
  <c r="D10" i="14"/>
  <c r="E10" i="14"/>
  <c r="F10" i="14"/>
  <c r="C12" i="14"/>
  <c r="F7" i="14"/>
  <c r="E7" i="14"/>
  <c r="D7" i="14"/>
  <c r="E8" i="13"/>
  <c r="D8" i="13"/>
  <c r="E12" i="14" l="1"/>
  <c r="G10" i="14"/>
  <c r="G7" i="14"/>
  <c r="F12" i="14"/>
  <c r="D12" i="14"/>
  <c r="G12" i="14" l="1"/>
  <c r="F6" i="12"/>
  <c r="E6" i="12"/>
  <c r="D6" i="12"/>
  <c r="C11" i="11"/>
  <c r="F9" i="10"/>
  <c r="D9" i="10"/>
  <c r="G8" i="10"/>
  <c r="F8" i="10"/>
  <c r="F10" i="10"/>
  <c r="E10" i="10"/>
  <c r="D10" i="10"/>
  <c r="F11" i="11" l="1"/>
  <c r="D11" i="11"/>
  <c r="E11" i="11"/>
  <c r="G10" i="10"/>
  <c r="G11" i="11" l="1"/>
  <c r="F11" i="9"/>
  <c r="D7" i="9"/>
  <c r="F6" i="8" l="1"/>
  <c r="E6" i="8"/>
  <c r="D6" i="8"/>
  <c r="G7" i="9"/>
  <c r="E7" i="9"/>
  <c r="E9" i="9"/>
  <c r="D9" i="9"/>
  <c r="D7" i="8"/>
  <c r="F8" i="8"/>
  <c r="E8" i="8"/>
  <c r="D8" i="8"/>
  <c r="E7" i="8"/>
  <c r="C12" i="8"/>
  <c r="F6" i="6"/>
  <c r="E6" i="6"/>
  <c r="D6" i="6"/>
  <c r="E8" i="5"/>
  <c r="D8" i="5"/>
  <c r="F9" i="4"/>
  <c r="E9" i="4"/>
  <c r="D9" i="4"/>
  <c r="D6" i="4"/>
  <c r="G8" i="4"/>
  <c r="F8" i="4"/>
  <c r="E8" i="4"/>
  <c r="D8" i="4"/>
  <c r="G6" i="6" l="1"/>
  <c r="G11" i="15" l="1"/>
  <c r="F11" i="15"/>
  <c r="E11" i="15"/>
  <c r="D11" i="15"/>
  <c r="E7" i="13"/>
  <c r="D7" i="13"/>
  <c r="F6" i="13"/>
  <c r="E6" i="13"/>
  <c r="D6" i="13"/>
  <c r="G11" i="12"/>
  <c r="F11" i="12"/>
  <c r="E11" i="12"/>
  <c r="D11" i="12"/>
  <c r="E7" i="12"/>
  <c r="D7" i="12"/>
  <c r="G12" i="10"/>
  <c r="F12" i="10"/>
  <c r="E12" i="10"/>
  <c r="D12" i="10"/>
  <c r="G11" i="9"/>
  <c r="E11" i="9"/>
  <c r="D11" i="9"/>
  <c r="F11" i="8"/>
  <c r="E11" i="8"/>
  <c r="D11" i="8"/>
  <c r="G11" i="6"/>
  <c r="F11" i="6"/>
  <c r="E11" i="6"/>
  <c r="D11" i="6"/>
  <c r="F12" i="4"/>
  <c r="E12" i="4"/>
  <c r="D12" i="4"/>
  <c r="G11" i="8" l="1"/>
  <c r="C12" i="6" l="1"/>
  <c r="D7" i="6"/>
  <c r="E7" i="6"/>
  <c r="F7" i="6"/>
  <c r="D8" i="6"/>
  <c r="G6" i="5" l="1"/>
  <c r="E6" i="5"/>
  <c r="D6" i="5"/>
  <c r="C12" i="15"/>
  <c r="F8" i="9"/>
  <c r="E8" i="9"/>
  <c r="D8" i="9"/>
  <c r="E8" i="10"/>
  <c r="D8" i="10"/>
  <c r="C13" i="13" l="1"/>
  <c r="C12" i="12"/>
  <c r="C13" i="10" l="1"/>
  <c r="C12" i="9"/>
  <c r="F11" i="4"/>
  <c r="E11" i="4"/>
  <c r="D11" i="4"/>
  <c r="F10" i="4"/>
  <c r="E10" i="4"/>
  <c r="D10" i="4"/>
  <c r="D10" i="15"/>
  <c r="E10" i="15"/>
  <c r="F10" i="15"/>
  <c r="F9" i="15"/>
  <c r="E9" i="15"/>
  <c r="D9" i="15"/>
  <c r="C12" i="5"/>
  <c r="C13" i="4"/>
  <c r="G11" i="4" l="1"/>
  <c r="G10" i="4"/>
  <c r="G9" i="15"/>
  <c r="F12" i="15"/>
  <c r="D12" i="15"/>
  <c r="G10" i="15"/>
  <c r="E12" i="15"/>
  <c r="G12" i="15" l="1"/>
  <c r="F10" i="8"/>
  <c r="F12" i="8" s="1"/>
  <c r="E10" i="8"/>
  <c r="E12" i="8" s="1"/>
  <c r="D10" i="8"/>
  <c r="D12" i="8" s="1"/>
  <c r="F10" i="9"/>
  <c r="E10" i="9"/>
  <c r="D10" i="9"/>
  <c r="F9" i="13"/>
  <c r="E9" i="13"/>
  <c r="D9" i="13"/>
  <c r="F10" i="6"/>
  <c r="E10" i="6"/>
  <c r="D10" i="6"/>
  <c r="F9" i="6"/>
  <c r="E9" i="6"/>
  <c r="D9" i="6"/>
  <c r="F10" i="5"/>
  <c r="E10" i="5"/>
  <c r="D10" i="5"/>
  <c r="F9" i="5"/>
  <c r="E9" i="5"/>
  <c r="D9" i="5"/>
  <c r="D12" i="5" s="1"/>
  <c r="F11" i="13"/>
  <c r="E11" i="13"/>
  <c r="D11" i="13"/>
  <c r="F10" i="13"/>
  <c r="E10" i="13"/>
  <c r="D10" i="13"/>
  <c r="F10" i="12"/>
  <c r="E10" i="12"/>
  <c r="D10" i="12"/>
  <c r="F9" i="12"/>
  <c r="E9" i="12"/>
  <c r="D9" i="12"/>
  <c r="F11" i="10"/>
  <c r="E11" i="10"/>
  <c r="D11" i="10"/>
  <c r="D13" i="10" s="1"/>
  <c r="F6" i="4"/>
  <c r="E6" i="4"/>
  <c r="G12" i="4"/>
  <c r="F12" i="5" l="1"/>
  <c r="E12" i="6"/>
  <c r="E13" i="13"/>
  <c r="D12" i="6"/>
  <c r="D11" i="2"/>
  <c r="A4" i="16" s="1"/>
  <c r="F12" i="6"/>
  <c r="E12" i="12"/>
  <c r="F12" i="12"/>
  <c r="D12" i="12"/>
  <c r="E12" i="5"/>
  <c r="E13" i="10"/>
  <c r="G6" i="4"/>
  <c r="G13" i="4" s="1"/>
  <c r="G10" i="8"/>
  <c r="G12" i="8" s="1"/>
  <c r="G9" i="6"/>
  <c r="G10" i="6"/>
  <c r="G11" i="10"/>
  <c r="D12" i="9"/>
  <c r="F12" i="9"/>
  <c r="G9" i="13"/>
  <c r="E12" i="9"/>
  <c r="G10" i="9"/>
  <c r="G10" i="5"/>
  <c r="G9" i="5"/>
  <c r="E11" i="2"/>
  <c r="B4" i="16" s="1"/>
  <c r="D13" i="4"/>
  <c r="E13" i="4"/>
  <c r="F11" i="2"/>
  <c r="G10" i="13"/>
  <c r="G11" i="13"/>
  <c r="D13" i="13"/>
  <c r="G9" i="12"/>
  <c r="G10" i="12"/>
  <c r="F13" i="13"/>
  <c r="F13" i="10"/>
  <c r="F13" i="4"/>
  <c r="C4" i="16" l="1"/>
  <c r="G12" i="6"/>
  <c r="G12" i="12"/>
  <c r="G13" i="10"/>
  <c r="G12" i="9"/>
  <c r="D4" i="16" l="1"/>
  <c r="B5" i="16"/>
  <c r="A5" i="16"/>
</calcChain>
</file>

<file path=xl/sharedStrings.xml><?xml version="1.0" encoding="utf-8"?>
<sst xmlns="http://schemas.openxmlformats.org/spreadsheetml/2006/main" count="276" uniqueCount="77">
  <si>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</si>
  <si>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</si>
  <si>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</si>
  <si>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</si>
  <si>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</si>
  <si>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</si>
  <si>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</si>
  <si>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Хлеб пшеничный</t>
  </si>
  <si>
    <t>ОБЕД</t>
  </si>
  <si>
    <t>39/2008г</t>
  </si>
  <si>
    <t>Картофельное пюре</t>
  </si>
  <si>
    <t>92/2008г</t>
  </si>
  <si>
    <t>Хлеб ржано-пшеничный</t>
  </si>
  <si>
    <t>Компот из сухофруктов</t>
  </si>
  <si>
    <t>ИТОГО ЗА ОБЕД:</t>
  </si>
  <si>
    <t>Огурцы свежие порционно</t>
  </si>
  <si>
    <t>Суп картофельный с бобовыми</t>
  </si>
  <si>
    <t>47/2008г</t>
  </si>
  <si>
    <t>Соус томатный</t>
  </si>
  <si>
    <t>Чай с лимоном</t>
  </si>
  <si>
    <t>146/2008г</t>
  </si>
  <si>
    <t>Какао с молоком</t>
  </si>
  <si>
    <t>149/2008г</t>
  </si>
  <si>
    <t>153/2008г</t>
  </si>
  <si>
    <t>60/2013г</t>
  </si>
  <si>
    <t>Щи из свежей капусты с картофелем</t>
  </si>
  <si>
    <t>41/2008г</t>
  </si>
  <si>
    <t>Макаронные изделия отварные</t>
  </si>
  <si>
    <t>97/2008г</t>
  </si>
  <si>
    <t>141/2008г</t>
  </si>
  <si>
    <t>Шницель из говядины</t>
  </si>
  <si>
    <t>Зразы из говядины с яйцом</t>
  </si>
  <si>
    <t>Винегрет</t>
  </si>
  <si>
    <t>30/2008г</t>
  </si>
  <si>
    <t>Напиток из подов шиповника</t>
  </si>
  <si>
    <t>267/2013г</t>
  </si>
  <si>
    <t>День: вторник.</t>
  </si>
  <si>
    <t>День: понедельник.</t>
  </si>
  <si>
    <t>День: среда.</t>
  </si>
  <si>
    <t>День: четверг.</t>
  </si>
  <si>
    <t>День: пятница.</t>
  </si>
  <si>
    <t>День: суббота.</t>
  </si>
  <si>
    <t xml:space="preserve">104/2017 </t>
  </si>
  <si>
    <t>Суп с мясными фрикадельками</t>
  </si>
  <si>
    <t>39/2017</t>
  </si>
  <si>
    <t>Жаркое по домашнему из говядины</t>
  </si>
  <si>
    <t>Йогурт</t>
  </si>
  <si>
    <t>Салат картофельный с кукурузой , морковью и огурцами</t>
  </si>
  <si>
    <t>Энергет. Ценность</t>
  </si>
  <si>
    <t>Среднее соотношение за 12 дней</t>
  </si>
  <si>
    <t>Энергет Ценность</t>
  </si>
  <si>
    <t>Сок  фруктовый</t>
  </si>
  <si>
    <t>342/2017</t>
  </si>
  <si>
    <t>Компот из свежих яблок</t>
  </si>
  <si>
    <t>ттк</t>
  </si>
  <si>
    <t>Гуляш из мяса кур</t>
  </si>
  <si>
    <t>пп</t>
  </si>
  <si>
    <t>ПП</t>
  </si>
  <si>
    <t>Плов из говядины</t>
  </si>
  <si>
    <t>Каша пшенная без молока</t>
  </si>
  <si>
    <t>Котлета,рубленная из мяса кур</t>
  </si>
  <si>
    <t>Салат из белокочанной капусты с помидорами и огурцами</t>
  </si>
  <si>
    <t xml:space="preserve">Рассольник ленинградский </t>
  </si>
  <si>
    <t>Возрастная категория: 7-10 лет</t>
  </si>
  <si>
    <t>Возрастная категория: 7-10 лет.</t>
  </si>
  <si>
    <t>Борщ с капустой и картофелем с мясом со сметаной</t>
  </si>
  <si>
    <t>Гуляш</t>
  </si>
  <si>
    <t>Рыба по польски</t>
  </si>
  <si>
    <t xml:space="preserve">Каша рисовая  вязкая </t>
  </si>
  <si>
    <t xml:space="preserve">Суп "Снежок"с мясом птицы </t>
  </si>
  <si>
    <t xml:space="preserve">Суп картофельный с клёцками </t>
  </si>
  <si>
    <t xml:space="preserve">Суп картофельный с макаронными изделиями </t>
  </si>
  <si>
    <t>Пряники</t>
  </si>
  <si>
    <t>Напиток из плодов шиповника</t>
  </si>
  <si>
    <t>клёцки мучные</t>
  </si>
  <si>
    <t>Ватрушка с творогом</t>
  </si>
  <si>
    <t>Каша рисовая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</si>
</sst>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8000"/>
      <name val="Arial Cy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49" fontId="14" fillId="0" borderId="1">
      <alignment vertical="top" wrapText="1"/>
    </xf>
    <xf numFmtId="49" fontId="14" fillId="0" borderId="1">
      <alignment vertical="top"/>
    </xf>
    <xf numFmtId="4" fontId="15" fillId="0" borderId="1">
      <alignment vertical="top" shrinkToFit="1"/>
    </xf>
  </cellStyleXfs>
  <cellXfs count="17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8" fillId="0" borderId="0" xfId="0" applyFont="1"/>
    <xf numFmtId="0" fontId="6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1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2" fontId="9" fillId="0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center" wrapText="1"/>
    </xf>
    <xf numFmtId="2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0" xfId="0" applyFont="1" applyBorder="1"/>
    <xf numFmtId="2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5">
    <cellStyle name="st16" xfId="2"/>
    <cellStyle name="st19" xfId="4"/>
    <cellStyle name="xl26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10" zoomScaleSheetLayoutView="100" workbookViewId="0">
      <selection activeCell="A6" sqref="A6:G10"/>
    </sheetView>
  </sheetViews>
  <sheetFormatPr defaultRowHeight="15" x14ac:dyDescent="0.25"/>
  <cols>
    <col min="1" max="1" width="13.7109375" customWidth="1"/>
    <col min="2" max="2" width="34.28515625" customWidth="1"/>
    <col min="3" max="3" width="7" customWidth="1"/>
    <col min="4" max="4" width="7.7109375" customWidth="1"/>
    <col min="5" max="5" width="7" customWidth="1"/>
    <col min="7" max="7" width="8.28515625" customWidth="1"/>
  </cols>
  <sheetData>
    <row r="1" spans="1:10" ht="18" customHeight="1" x14ac:dyDescent="0.25">
      <c r="A1" s="144"/>
      <c r="B1" s="144"/>
      <c r="C1" s="144"/>
      <c r="D1" s="145"/>
      <c r="E1" s="145"/>
      <c r="F1" s="145"/>
      <c r="G1" s="145"/>
      <c r="H1" s="2"/>
      <c r="I1" s="2"/>
      <c r="J1" s="1"/>
    </row>
    <row r="2" spans="1:10" ht="15.75" x14ac:dyDescent="0.25">
      <c r="A2" s="63" t="s">
        <v>63</v>
      </c>
      <c r="B2" s="63"/>
      <c r="C2" s="64"/>
      <c r="D2" s="146" t="s">
        <v>37</v>
      </c>
      <c r="E2" s="146"/>
      <c r="F2" s="146"/>
      <c r="G2" s="146"/>
      <c r="H2" s="7"/>
      <c r="I2" s="2"/>
      <c r="J2" s="1"/>
    </row>
    <row r="3" spans="1:10" ht="15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1"/>
    </row>
    <row r="4" spans="1:10" ht="24.75" customHeight="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3"/>
      <c r="I4" s="2"/>
      <c r="J4" s="1"/>
    </row>
    <row r="5" spans="1:10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2"/>
      <c r="J5" s="1"/>
    </row>
    <row r="6" spans="1:10" ht="25.5" x14ac:dyDescent="0.25">
      <c r="A6" s="102" t="s">
        <v>9</v>
      </c>
      <c r="B6" s="100" t="s">
        <v>65</v>
      </c>
      <c r="C6" s="102">
        <v>200</v>
      </c>
      <c r="D6" s="101">
        <f>6.52/250*C6</f>
        <v>5.2160000000000002</v>
      </c>
      <c r="E6" s="101">
        <f>10.4/250*C6</f>
        <v>8.32</v>
      </c>
      <c r="F6" s="101">
        <f>13.9/250*C6</f>
        <v>11.120000000000001</v>
      </c>
      <c r="G6" s="101">
        <f>218.88/250*C6</f>
        <v>175.10399999999998</v>
      </c>
      <c r="H6" s="3"/>
      <c r="I6" s="2"/>
      <c r="J6" s="1"/>
    </row>
    <row r="7" spans="1:10" x14ac:dyDescent="0.25">
      <c r="A7" s="118" t="s">
        <v>54</v>
      </c>
      <c r="B7" s="119" t="s">
        <v>75</v>
      </c>
      <c r="C7" s="118">
        <v>100</v>
      </c>
      <c r="D7" s="120">
        <f>5.98/100*C7</f>
        <v>5.98</v>
      </c>
      <c r="E7" s="120">
        <f>8.97/100*C7</f>
        <v>8.9700000000000006</v>
      </c>
      <c r="F7" s="120">
        <f>21.3/100*C7</f>
        <v>21.3</v>
      </c>
      <c r="G7" s="120">
        <f>173.4/100*C7</f>
        <v>173.4</v>
      </c>
    </row>
    <row r="8" spans="1:10" ht="18" customHeight="1" x14ac:dyDescent="0.25">
      <c r="A8" s="55" t="s">
        <v>54</v>
      </c>
      <c r="B8" s="114" t="s">
        <v>76</v>
      </c>
      <c r="C8" s="115">
        <v>200</v>
      </c>
      <c r="D8" s="116">
        <f>8.96/150*C8</f>
        <v>11.946666666666667</v>
      </c>
      <c r="E8" s="116">
        <f>7.2/150*C8</f>
        <v>9.6</v>
      </c>
      <c r="F8" s="116">
        <f>28.99/150*C8</f>
        <v>38.653333333333336</v>
      </c>
      <c r="G8" s="116">
        <f>206.4/150*C8</f>
        <v>275.20000000000005</v>
      </c>
      <c r="H8" s="3"/>
      <c r="I8" s="2"/>
      <c r="J8" s="1"/>
    </row>
    <row r="9" spans="1:10" x14ac:dyDescent="0.25">
      <c r="A9" s="22"/>
      <c r="B9" s="15" t="s">
        <v>7</v>
      </c>
      <c r="C9" s="14">
        <v>30</v>
      </c>
      <c r="D9" s="36">
        <f>C9*7.7/100</f>
        <v>2.31</v>
      </c>
      <c r="E9" s="36">
        <f>C9*0.8/100</f>
        <v>0.24</v>
      </c>
      <c r="F9" s="36">
        <f>C9*49.5/100</f>
        <v>14.85</v>
      </c>
      <c r="G9" s="36">
        <f t="shared" ref="G9" si="0">F9*4+E9*9+D9*4</f>
        <v>70.8</v>
      </c>
      <c r="H9" s="3"/>
      <c r="I9" s="2"/>
      <c r="J9" s="1"/>
    </row>
    <row r="10" spans="1:10" x14ac:dyDescent="0.25">
      <c r="A10" s="14" t="s">
        <v>23</v>
      </c>
      <c r="B10" s="15" t="s">
        <v>13</v>
      </c>
      <c r="C10" s="14">
        <v>200</v>
      </c>
      <c r="D10" s="14">
        <f>0.6/200*C10</f>
        <v>0.6</v>
      </c>
      <c r="E10" s="16">
        <f>0/200*C10</f>
        <v>0</v>
      </c>
      <c r="F10" s="14">
        <f>31.4/200*C10</f>
        <v>31.4</v>
      </c>
      <c r="G10" s="16">
        <f>128/200*C10</f>
        <v>128</v>
      </c>
      <c r="H10" s="3"/>
      <c r="I10" s="2"/>
      <c r="J10" s="1"/>
    </row>
    <row r="11" spans="1:10" x14ac:dyDescent="0.25">
      <c r="A11" s="141" t="s">
        <v>14</v>
      </c>
      <c r="B11" s="142"/>
      <c r="C11" s="69">
        <f>SUM(C6:C10)</f>
        <v>730</v>
      </c>
      <c r="D11" s="19">
        <f>SUM(D6:D10)</f>
        <v>26.052666666666671</v>
      </c>
      <c r="E11" s="19">
        <f>SUM(E6:E10)</f>
        <v>27.13</v>
      </c>
      <c r="F11" s="19">
        <f>SUM(F6:F10)</f>
        <v>117.32333333333332</v>
      </c>
      <c r="G11" s="19">
        <f>SUM(G6:G10)</f>
        <v>822.50400000000002</v>
      </c>
      <c r="H11" s="3"/>
      <c r="I11" s="2"/>
      <c r="J11" s="1"/>
    </row>
    <row r="12" spans="1:10" x14ac:dyDescent="0.25">
      <c r="A12" s="139"/>
      <c r="B12" s="140"/>
      <c r="C12" s="140"/>
      <c r="D12" s="140"/>
      <c r="E12" s="140"/>
      <c r="F12" s="140"/>
      <c r="G12" s="140"/>
      <c r="H12" s="3"/>
      <c r="I12" s="2"/>
      <c r="J12" s="1"/>
    </row>
  </sheetData>
  <mergeCells count="11">
    <mergeCell ref="A12:G12"/>
    <mergeCell ref="A11:B11"/>
    <mergeCell ref="A5:G5"/>
    <mergeCell ref="A1:C1"/>
    <mergeCell ref="D1:G1"/>
    <mergeCell ref="D2:G2"/>
    <mergeCell ref="A3:A4"/>
    <mergeCell ref="B3:B4"/>
    <mergeCell ref="C3:C4"/>
    <mergeCell ref="D3:F3"/>
    <mergeCell ref="G3:G4"/>
  </mergeCells>
  <pageMargins left="0.5118110236220472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10" zoomScaleSheetLayoutView="100" workbookViewId="0">
      <selection activeCell="G10" sqref="G10"/>
    </sheetView>
  </sheetViews>
  <sheetFormatPr defaultRowHeight="15" x14ac:dyDescent="0.25"/>
  <cols>
    <col min="1" max="1" width="9.85546875" customWidth="1"/>
    <col min="2" max="2" width="27.85546875" customWidth="1"/>
    <col min="3" max="3" width="8" customWidth="1"/>
    <col min="4" max="4" width="7.7109375" customWidth="1"/>
    <col min="5" max="5" width="7" customWidth="1"/>
    <col min="7" max="7" width="8.85546875" customWidth="1"/>
  </cols>
  <sheetData>
    <row r="1" spans="1:11" ht="15.75" customHeight="1" x14ac:dyDescent="0.25">
      <c r="A1" s="144"/>
      <c r="B1" s="144"/>
      <c r="C1" s="144"/>
      <c r="D1" s="145"/>
      <c r="E1" s="145"/>
      <c r="F1" s="145"/>
      <c r="G1" s="145"/>
      <c r="H1" s="2"/>
      <c r="I1" s="2"/>
      <c r="J1" s="2"/>
      <c r="K1" s="1"/>
    </row>
    <row r="2" spans="1:11" ht="15.75" x14ac:dyDescent="0.25">
      <c r="A2" s="63" t="s">
        <v>64</v>
      </c>
      <c r="B2" s="123"/>
      <c r="C2" s="64"/>
      <c r="D2" s="146" t="s">
        <v>36</v>
      </c>
      <c r="E2" s="146"/>
      <c r="F2" s="146"/>
      <c r="G2" s="146"/>
      <c r="H2" s="2"/>
      <c r="I2" s="2"/>
      <c r="J2" s="2"/>
      <c r="K2" s="1"/>
    </row>
    <row r="3" spans="1:11" ht="15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2"/>
      <c r="K3" s="1"/>
    </row>
    <row r="4" spans="1:1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3"/>
      <c r="I4" s="3"/>
      <c r="J4" s="2"/>
      <c r="K4" s="1"/>
    </row>
    <row r="5" spans="1:11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3"/>
      <c r="J5" s="2"/>
      <c r="K5" s="1"/>
    </row>
    <row r="6" spans="1:11" x14ac:dyDescent="0.25">
      <c r="A6" s="14"/>
      <c r="B6" s="15" t="s">
        <v>15</v>
      </c>
      <c r="C6" s="14">
        <v>70</v>
      </c>
      <c r="D6" s="48">
        <f>C6*3.7/100</f>
        <v>2.59</v>
      </c>
      <c r="E6" s="48">
        <f>C6*0.1/100</f>
        <v>7.0000000000000007E-2</v>
      </c>
      <c r="F6" s="48">
        <f>C6*1.9/100</f>
        <v>1.33</v>
      </c>
      <c r="G6" s="48">
        <f t="shared" ref="G6:G12" si="0">F6*4+E6*9+D6*4</f>
        <v>16.309999999999999</v>
      </c>
      <c r="H6" s="3"/>
      <c r="I6" s="3"/>
      <c r="J6" s="2"/>
      <c r="K6" s="1"/>
    </row>
    <row r="7" spans="1:11" ht="24" customHeight="1" x14ac:dyDescent="0.25">
      <c r="A7" s="14" t="s">
        <v>26</v>
      </c>
      <c r="B7" s="20" t="s">
        <v>25</v>
      </c>
      <c r="C7" s="51">
        <v>200</v>
      </c>
      <c r="D7" s="52">
        <v>5.72</v>
      </c>
      <c r="E7" s="52">
        <v>7.5</v>
      </c>
      <c r="F7" s="53">
        <v>10</v>
      </c>
      <c r="G7" s="52">
        <v>131.6</v>
      </c>
      <c r="H7" s="3"/>
      <c r="I7" s="3"/>
      <c r="J7" s="2"/>
      <c r="K7" s="8"/>
    </row>
    <row r="8" spans="1:11" x14ac:dyDescent="0.25">
      <c r="A8" s="108" t="s">
        <v>28</v>
      </c>
      <c r="B8" s="103" t="s">
        <v>27</v>
      </c>
      <c r="C8" s="108">
        <v>150</v>
      </c>
      <c r="D8" s="109">
        <f>3.75/150*C8</f>
        <v>3.75</v>
      </c>
      <c r="E8" s="109">
        <f>3.15/150*C8</f>
        <v>3.1499999999999995</v>
      </c>
      <c r="F8" s="109">
        <f>35.25/150*C8</f>
        <v>35.25</v>
      </c>
      <c r="G8" s="109">
        <f>184.35/150*C8</f>
        <v>184.35</v>
      </c>
      <c r="H8" s="3"/>
      <c r="I8" s="3"/>
      <c r="J8" s="2"/>
      <c r="K8" s="1"/>
    </row>
    <row r="9" spans="1:11" x14ac:dyDescent="0.25">
      <c r="A9" s="106" t="s">
        <v>54</v>
      </c>
      <c r="B9" s="105" t="s">
        <v>66</v>
      </c>
      <c r="C9" s="106">
        <v>90</v>
      </c>
      <c r="D9" s="124">
        <f>12.91/100*C9</f>
        <v>11.619</v>
      </c>
      <c r="E9" s="124">
        <f>19.158/100*C9</f>
        <v>17.2422</v>
      </c>
      <c r="F9" s="124">
        <f>29.938/100*C9</f>
        <v>26.944199999999999</v>
      </c>
      <c r="G9" s="124">
        <f>352.54/100*C9</f>
        <v>317.286</v>
      </c>
      <c r="H9" s="3"/>
      <c r="I9" s="3"/>
      <c r="J9" s="2"/>
      <c r="K9" s="1"/>
    </row>
    <row r="10" spans="1:11" x14ac:dyDescent="0.25">
      <c r="A10" s="14"/>
      <c r="B10" s="15" t="s">
        <v>7</v>
      </c>
      <c r="C10" s="60">
        <v>20</v>
      </c>
      <c r="D10" s="60">
        <f>C10*7.7/100</f>
        <v>1.54</v>
      </c>
      <c r="E10" s="62">
        <f>C10*0.8/100</f>
        <v>0.16</v>
      </c>
      <c r="F10" s="60">
        <f>C10*49.5/100</f>
        <v>9.9</v>
      </c>
      <c r="G10" s="62">
        <f t="shared" ref="G10:G11" si="1">F10*4+E10*9+D10*4</f>
        <v>47.2</v>
      </c>
      <c r="H10" s="3"/>
      <c r="I10" s="3"/>
      <c r="J10" s="2"/>
      <c r="K10" s="1"/>
    </row>
    <row r="11" spans="1:11" x14ac:dyDescent="0.25">
      <c r="A11" s="14"/>
      <c r="B11" s="15" t="s">
        <v>12</v>
      </c>
      <c r="C11" s="60">
        <v>30</v>
      </c>
      <c r="D11" s="60">
        <f>C11*6.6/100</f>
        <v>1.98</v>
      </c>
      <c r="E11" s="60">
        <f>C11*1.1/100</f>
        <v>0.33</v>
      </c>
      <c r="F11" s="60">
        <f>C11*43.9/100</f>
        <v>13.17</v>
      </c>
      <c r="G11" s="60">
        <f t="shared" si="1"/>
        <v>63.57</v>
      </c>
      <c r="H11" s="3"/>
      <c r="I11" s="3"/>
      <c r="J11" s="2"/>
      <c r="K11" s="1"/>
    </row>
    <row r="12" spans="1:11" x14ac:dyDescent="0.25">
      <c r="A12" s="14" t="s">
        <v>20</v>
      </c>
      <c r="B12" s="15" t="s">
        <v>19</v>
      </c>
      <c r="C12" s="14">
        <v>200</v>
      </c>
      <c r="D12" s="16">
        <f>0.3/200*C12</f>
        <v>0.3</v>
      </c>
      <c r="E12" s="17">
        <f>0/200*C12</f>
        <v>0</v>
      </c>
      <c r="F12" s="16">
        <f>15.2/200*C12</f>
        <v>15.2</v>
      </c>
      <c r="G12" s="16">
        <f t="shared" si="0"/>
        <v>62</v>
      </c>
      <c r="H12" s="3"/>
      <c r="I12" s="3"/>
      <c r="J12" s="2"/>
      <c r="K12" s="1"/>
    </row>
    <row r="13" spans="1:11" x14ac:dyDescent="0.25">
      <c r="A13" s="141" t="s">
        <v>14</v>
      </c>
      <c r="B13" s="142"/>
      <c r="C13" s="68">
        <f t="shared" ref="C13:F13" si="2">SUM(C6:C12)</f>
        <v>760</v>
      </c>
      <c r="D13" s="18">
        <f t="shared" si="2"/>
        <v>27.498999999999999</v>
      </c>
      <c r="E13" s="19">
        <f t="shared" si="2"/>
        <v>28.452199999999998</v>
      </c>
      <c r="F13" s="19">
        <f t="shared" si="2"/>
        <v>111.7942</v>
      </c>
      <c r="G13" s="19">
        <f>SUM(G6:G12)</f>
        <v>822.31600000000014</v>
      </c>
      <c r="H13" s="3"/>
      <c r="I13" s="3"/>
      <c r="J13" s="2"/>
      <c r="K13" s="1"/>
    </row>
    <row r="14" spans="1:11" x14ac:dyDescent="0.25">
      <c r="A14" s="139"/>
      <c r="B14" s="140"/>
      <c r="C14" s="140"/>
      <c r="D14" s="140"/>
      <c r="E14" s="140"/>
      <c r="F14" s="140"/>
      <c r="G14" s="140"/>
      <c r="H14" s="3"/>
      <c r="I14" s="3"/>
      <c r="J14" s="2"/>
      <c r="K14" s="1"/>
    </row>
  </sheetData>
  <mergeCells count="11">
    <mergeCell ref="A5:G5"/>
    <mergeCell ref="A13:B13"/>
    <mergeCell ref="A14:G14"/>
    <mergeCell ref="G3:G4"/>
    <mergeCell ref="D2:G2"/>
    <mergeCell ref="D1:G1"/>
    <mergeCell ref="A1:C1"/>
    <mergeCell ref="A3:A4"/>
    <mergeCell ref="B3:B4"/>
    <mergeCell ref="C3:C4"/>
    <mergeCell ref="D3:F3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view="pageBreakPreview" zoomScaleNormal="110" zoomScaleSheetLayoutView="100" workbookViewId="0">
      <selection activeCell="G8" sqref="G8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</cols>
  <sheetData>
    <row r="1" spans="1:24" ht="15.75" x14ac:dyDescent="0.25">
      <c r="A1" s="144"/>
      <c r="B1" s="144"/>
      <c r="C1" s="144"/>
      <c r="D1" s="145"/>
      <c r="E1" s="145"/>
      <c r="F1" s="145"/>
      <c r="G1" s="145"/>
    </row>
    <row r="2" spans="1:24" ht="15.75" x14ac:dyDescent="0.25">
      <c r="A2" s="63" t="s">
        <v>63</v>
      </c>
      <c r="B2" s="63"/>
      <c r="C2" s="64"/>
      <c r="D2" s="146" t="s">
        <v>38</v>
      </c>
      <c r="E2" s="146"/>
      <c r="F2" s="146"/>
      <c r="G2" s="146"/>
    </row>
    <row r="3" spans="1:24" ht="15" customHeight="1" x14ac:dyDescent="0.25">
      <c r="A3" s="154" t="s">
        <v>0</v>
      </c>
      <c r="B3" s="154" t="s">
        <v>1</v>
      </c>
      <c r="C3" s="156" t="s">
        <v>2</v>
      </c>
      <c r="D3" s="141" t="s">
        <v>6</v>
      </c>
      <c r="E3" s="143"/>
      <c r="F3" s="142"/>
      <c r="G3" s="149" t="s">
        <v>48</v>
      </c>
    </row>
    <row r="4" spans="1:24" x14ac:dyDescent="0.25">
      <c r="A4" s="155"/>
      <c r="B4" s="155"/>
      <c r="C4" s="157"/>
      <c r="D4" s="18" t="s">
        <v>3</v>
      </c>
      <c r="E4" s="18" t="s">
        <v>4</v>
      </c>
      <c r="F4" s="18" t="s">
        <v>5</v>
      </c>
      <c r="G4" s="150"/>
    </row>
    <row r="5" spans="1:24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3"/>
      <c r="J5" s="2"/>
      <c r="K5" s="1"/>
    </row>
    <row r="6" spans="1:24" ht="33" customHeight="1" x14ac:dyDescent="0.25">
      <c r="A6" s="76" t="s">
        <v>54</v>
      </c>
      <c r="B6" s="103" t="s">
        <v>61</v>
      </c>
      <c r="C6" s="14">
        <v>60</v>
      </c>
      <c r="D6" s="16">
        <f>1.8/80*C6</f>
        <v>1.3499999999999999</v>
      </c>
      <c r="E6" s="16">
        <f>8.7/80*C6</f>
        <v>6.5249999999999995</v>
      </c>
      <c r="F6" s="16">
        <f>8.8/80*C6</f>
        <v>6.6000000000000005</v>
      </c>
      <c r="G6" s="16">
        <f>98/80*C6</f>
        <v>73.5</v>
      </c>
      <c r="H6" s="3"/>
      <c r="I6" s="3"/>
      <c r="J6" s="2"/>
      <c r="K6" s="1"/>
    </row>
    <row r="7" spans="1:24" x14ac:dyDescent="0.25">
      <c r="A7" s="14" t="s">
        <v>17</v>
      </c>
      <c r="B7" s="15" t="s">
        <v>16</v>
      </c>
      <c r="C7" s="14">
        <v>250</v>
      </c>
      <c r="D7" s="16">
        <v>6.2</v>
      </c>
      <c r="E7" s="16">
        <v>3.6</v>
      </c>
      <c r="F7" s="16">
        <v>22.3</v>
      </c>
      <c r="G7" s="16">
        <v>186.4</v>
      </c>
      <c r="H7" s="3"/>
      <c r="I7" s="3"/>
      <c r="J7" s="2"/>
      <c r="K7" s="1"/>
    </row>
    <row r="8" spans="1:24" ht="25.5" x14ac:dyDescent="0.25">
      <c r="A8" s="104" t="s">
        <v>54</v>
      </c>
      <c r="B8" s="27" t="s">
        <v>45</v>
      </c>
      <c r="C8" s="104">
        <v>150</v>
      </c>
      <c r="D8" s="74">
        <f>15.9/230*C8</f>
        <v>10.369565217391303</v>
      </c>
      <c r="E8" s="74">
        <f>18.8/230*C8</f>
        <v>12.260869565217391</v>
      </c>
      <c r="F8" s="74">
        <f>70.96/230*C8</f>
        <v>46.278260869565209</v>
      </c>
      <c r="G8" s="74">
        <f>496.47/230*C8</f>
        <v>323.78478260869565</v>
      </c>
      <c r="H8" s="3"/>
      <c r="I8" s="3"/>
      <c r="J8" s="90"/>
      <c r="K8" s="90"/>
      <c r="L8" s="91"/>
      <c r="M8" s="6"/>
      <c r="N8" s="6"/>
      <c r="O8" s="6"/>
      <c r="P8" s="91"/>
      <c r="Q8" s="6"/>
      <c r="R8" s="6"/>
      <c r="S8" s="6"/>
      <c r="T8" s="6"/>
      <c r="U8" s="6"/>
      <c r="V8" s="6"/>
      <c r="W8" s="6"/>
      <c r="X8" s="6"/>
    </row>
    <row r="9" spans="1:24" x14ac:dyDescent="0.25">
      <c r="A9" s="14"/>
      <c r="B9" s="15" t="s">
        <v>7</v>
      </c>
      <c r="C9" s="14">
        <v>40</v>
      </c>
      <c r="D9" s="14">
        <f>C9*7.7/100</f>
        <v>3.08</v>
      </c>
      <c r="E9" s="16">
        <f>C9*0.8/100</f>
        <v>0.32</v>
      </c>
      <c r="F9" s="14">
        <f>C9*49.5/100</f>
        <v>19.8</v>
      </c>
      <c r="G9" s="16">
        <f t="shared" ref="G9:G10" si="0">F9*4+E9*9+D9*4</f>
        <v>94.4</v>
      </c>
      <c r="H9" s="3"/>
      <c r="I9" s="3"/>
      <c r="J9" s="2"/>
      <c r="K9" s="1"/>
    </row>
    <row r="10" spans="1:24" x14ac:dyDescent="0.25">
      <c r="A10" s="14"/>
      <c r="B10" s="15" t="s">
        <v>12</v>
      </c>
      <c r="C10" s="14">
        <v>20</v>
      </c>
      <c r="D10" s="14">
        <f>C10*6.6/100</f>
        <v>1.32</v>
      </c>
      <c r="E10" s="14">
        <f>C10*1.1/100</f>
        <v>0.22</v>
      </c>
      <c r="F10" s="14">
        <f>C10*43.9/100</f>
        <v>8.7799999999999994</v>
      </c>
      <c r="G10" s="14">
        <f t="shared" si="0"/>
        <v>42.379999999999995</v>
      </c>
      <c r="H10" s="3"/>
      <c r="I10" s="3"/>
      <c r="J10" s="2"/>
      <c r="K10" s="1"/>
    </row>
    <row r="11" spans="1:24" x14ac:dyDescent="0.25">
      <c r="A11" s="80" t="s">
        <v>22</v>
      </c>
      <c r="B11" s="81" t="s">
        <v>21</v>
      </c>
      <c r="C11" s="80">
        <v>200</v>
      </c>
      <c r="D11" s="82">
        <v>3.8719999999999999</v>
      </c>
      <c r="E11" s="82">
        <v>3.8000000000000003</v>
      </c>
      <c r="F11" s="82">
        <v>13.092000000000001</v>
      </c>
      <c r="G11" s="82">
        <v>101.88</v>
      </c>
      <c r="H11" s="3"/>
      <c r="I11" s="3"/>
      <c r="J11" s="2"/>
      <c r="K11" s="1"/>
    </row>
    <row r="12" spans="1:24" x14ac:dyDescent="0.25">
      <c r="A12" s="141" t="s">
        <v>14</v>
      </c>
      <c r="B12" s="142"/>
      <c r="C12" s="68">
        <f t="shared" ref="C12:E12" si="1">SUM(C6:C11)</f>
        <v>720</v>
      </c>
      <c r="D12" s="19">
        <f>SUM(D6:D11)</f>
        <v>26.1915652173913</v>
      </c>
      <c r="E12" s="19">
        <f t="shared" si="1"/>
        <v>26.725869565217391</v>
      </c>
      <c r="F12" s="19">
        <f>SUM(F6:F11)</f>
        <v>116.8502608695652</v>
      </c>
      <c r="G12" s="19">
        <f>SUM(G6:G11)</f>
        <v>822.3447826086956</v>
      </c>
      <c r="H12" s="3"/>
      <c r="I12" s="3"/>
      <c r="J12" s="2"/>
      <c r="K12" s="1"/>
    </row>
    <row r="13" spans="1:24" x14ac:dyDescent="0.25">
      <c r="A13" s="139"/>
      <c r="B13" s="140"/>
      <c r="C13" s="140"/>
      <c r="D13" s="140"/>
      <c r="E13" s="140"/>
      <c r="F13" s="140"/>
      <c r="G13" s="140"/>
      <c r="H13" s="3"/>
      <c r="I13" s="3"/>
      <c r="J13" s="2"/>
      <c r="K13" s="1"/>
    </row>
  </sheetData>
  <mergeCells count="11">
    <mergeCell ref="A5:G5"/>
    <mergeCell ref="A12:B12"/>
    <mergeCell ref="A13:G13"/>
    <mergeCell ref="A1:C1"/>
    <mergeCell ref="D1:G1"/>
    <mergeCell ref="D2:G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zoomScaleNormal="110" zoomScaleSheetLayoutView="100" workbookViewId="0">
      <selection activeCell="G9" sqref="G9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8.5703125" customWidth="1"/>
  </cols>
  <sheetData>
    <row r="1" spans="1:16" ht="15.75" x14ac:dyDescent="0.25">
      <c r="A1" s="144"/>
      <c r="B1" s="144"/>
      <c r="C1" s="144"/>
      <c r="D1" s="145"/>
      <c r="E1" s="145"/>
      <c r="F1" s="145"/>
      <c r="G1" s="145"/>
    </row>
    <row r="2" spans="1:16" ht="15.75" x14ac:dyDescent="0.25">
      <c r="A2" s="63" t="s">
        <v>63</v>
      </c>
      <c r="B2" s="63"/>
      <c r="C2" s="64"/>
      <c r="D2" s="146" t="s">
        <v>39</v>
      </c>
      <c r="E2" s="146"/>
      <c r="F2" s="146"/>
      <c r="G2" s="146"/>
    </row>
    <row r="3" spans="1:16" ht="15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</row>
    <row r="4" spans="1:16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</row>
    <row r="5" spans="1:16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3"/>
      <c r="J5" s="2"/>
      <c r="K5" s="1"/>
    </row>
    <row r="6" spans="1:16" x14ac:dyDescent="0.25">
      <c r="A6" s="29" t="s">
        <v>24</v>
      </c>
      <c r="B6" s="103" t="s">
        <v>62</v>
      </c>
      <c r="C6" s="29">
        <v>200</v>
      </c>
      <c r="D6" s="30">
        <f>C6*1.17/100</f>
        <v>2.34</v>
      </c>
      <c r="E6" s="30">
        <f>C6*2.05/100</f>
        <v>4.0999999999999996</v>
      </c>
      <c r="F6" s="30">
        <f>C6*9.94/100</f>
        <v>19.88</v>
      </c>
      <c r="G6" s="30">
        <f t="shared" ref="G6:G10" si="0">F6*4+E6*9+D6*4</f>
        <v>125.77999999999999</v>
      </c>
      <c r="H6" s="3"/>
      <c r="I6" s="3"/>
      <c r="J6" s="2"/>
      <c r="K6" s="1"/>
    </row>
    <row r="7" spans="1:16" s="28" customFormat="1" x14ac:dyDescent="0.25">
      <c r="A7" s="14" t="s">
        <v>11</v>
      </c>
      <c r="B7" s="15" t="s">
        <v>10</v>
      </c>
      <c r="C7" s="21">
        <v>200</v>
      </c>
      <c r="D7" s="16">
        <f>C7*2.1/100</f>
        <v>4.2</v>
      </c>
      <c r="E7" s="16">
        <f>C7*4.5/100</f>
        <v>9</v>
      </c>
      <c r="F7" s="16">
        <f>C7*14.6/100</f>
        <v>29.2</v>
      </c>
      <c r="G7" s="16">
        <f>214.6/200*C7</f>
        <v>214.6</v>
      </c>
      <c r="H7" s="79"/>
      <c r="I7" s="79"/>
      <c r="J7" s="78"/>
      <c r="K7" s="77"/>
      <c r="L7" s="77"/>
      <c r="M7" s="77"/>
      <c r="N7" s="77"/>
      <c r="O7" s="77"/>
      <c r="P7" s="77"/>
    </row>
    <row r="8" spans="1:16" s="77" customFormat="1" x14ac:dyDescent="0.25">
      <c r="A8" s="14" t="s">
        <v>54</v>
      </c>
      <c r="B8" s="15" t="s">
        <v>31</v>
      </c>
      <c r="C8" s="14">
        <v>90</v>
      </c>
      <c r="D8" s="16">
        <f>C8*21.3/100</f>
        <v>19.170000000000002</v>
      </c>
      <c r="E8" s="16">
        <f>C8*14.1/100</f>
        <v>12.69</v>
      </c>
      <c r="F8" s="16">
        <f>C8*31.7/100</f>
        <v>28.53</v>
      </c>
      <c r="G8" s="16">
        <f>298.71/90*C8</f>
        <v>298.70999999999998</v>
      </c>
      <c r="H8" s="79"/>
      <c r="I8" s="79"/>
      <c r="J8" s="78"/>
    </row>
    <row r="9" spans="1:16" x14ac:dyDescent="0.25">
      <c r="A9" s="83" t="s">
        <v>57</v>
      </c>
      <c r="B9" s="34" t="s">
        <v>7</v>
      </c>
      <c r="C9" s="31">
        <v>20</v>
      </c>
      <c r="D9" s="31">
        <f>C9*7.7/100</f>
        <v>1.54</v>
      </c>
      <c r="E9" s="33">
        <f>C9*0.8/100</f>
        <v>0.16</v>
      </c>
      <c r="F9" s="31">
        <f>C9*49.5/100</f>
        <v>9.9</v>
      </c>
      <c r="G9" s="33">
        <f t="shared" si="0"/>
        <v>47.2</v>
      </c>
      <c r="H9" s="3"/>
      <c r="I9" s="3"/>
      <c r="J9" s="2"/>
      <c r="K9" s="1"/>
    </row>
    <row r="10" spans="1:16" x14ac:dyDescent="0.25">
      <c r="A10" s="14"/>
      <c r="B10" s="15" t="s">
        <v>12</v>
      </c>
      <c r="C10" s="14">
        <v>30</v>
      </c>
      <c r="D10" s="14">
        <f>C10*6.6/100</f>
        <v>1.98</v>
      </c>
      <c r="E10" s="14">
        <f>C10*1.1/100</f>
        <v>0.33</v>
      </c>
      <c r="F10" s="14">
        <f>C10*43.9/100</f>
        <v>13.17</v>
      </c>
      <c r="G10" s="14">
        <f t="shared" si="0"/>
        <v>63.57</v>
      </c>
      <c r="H10" s="3"/>
      <c r="I10" s="3"/>
      <c r="J10" s="2"/>
      <c r="K10" s="1"/>
    </row>
    <row r="11" spans="1:16" x14ac:dyDescent="0.25">
      <c r="A11" s="37" t="s">
        <v>35</v>
      </c>
      <c r="B11" s="39" t="s">
        <v>73</v>
      </c>
      <c r="C11" s="37">
        <v>200</v>
      </c>
      <c r="D11" s="38">
        <f>0.4/200*C11</f>
        <v>0.4</v>
      </c>
      <c r="E11" s="38">
        <f>0.27/200*C11</f>
        <v>0.27</v>
      </c>
      <c r="F11" s="38">
        <f>17.2/200*C11</f>
        <v>17.2</v>
      </c>
      <c r="G11" s="38">
        <f>72.83/200*C11</f>
        <v>72.83</v>
      </c>
      <c r="H11" s="3"/>
      <c r="I11" s="3"/>
      <c r="J11" s="2"/>
      <c r="K11" s="1"/>
    </row>
    <row r="12" spans="1:16" x14ac:dyDescent="0.25">
      <c r="A12" s="141" t="s">
        <v>14</v>
      </c>
      <c r="B12" s="142"/>
      <c r="C12" s="68">
        <f>SUM(C6:C11)</f>
        <v>740</v>
      </c>
      <c r="D12" s="113">
        <f>SUM(D6:D11)</f>
        <v>29.63</v>
      </c>
      <c r="E12" s="113">
        <f>SUM(E6:E11)</f>
        <v>26.549999999999997</v>
      </c>
      <c r="F12" s="113">
        <f>SUM(F6:F11)</f>
        <v>117.88000000000001</v>
      </c>
      <c r="G12" s="113">
        <f>SUM(G6:G11)</f>
        <v>822.69</v>
      </c>
      <c r="H12" s="3"/>
      <c r="I12" s="3"/>
      <c r="J12" s="2"/>
      <c r="K12" s="1"/>
    </row>
    <row r="13" spans="1:16" x14ac:dyDescent="0.25">
      <c r="A13" s="139"/>
      <c r="B13" s="140"/>
      <c r="C13" s="140"/>
      <c r="D13" s="140"/>
      <c r="E13" s="140"/>
      <c r="F13" s="140"/>
      <c r="G13" s="140"/>
      <c r="H13" s="3"/>
      <c r="I13" s="3"/>
      <c r="J13" s="2"/>
      <c r="K13" s="1"/>
    </row>
    <row r="16" spans="1:16" x14ac:dyDescent="0.25">
      <c r="C16" s="70"/>
      <c r="D16" s="71"/>
      <c r="E16" s="71"/>
      <c r="F16" s="71"/>
      <c r="G16" s="71"/>
    </row>
    <row r="17" spans="3:7" x14ac:dyDescent="0.25">
      <c r="C17" s="72"/>
      <c r="D17" s="72"/>
      <c r="E17" s="72"/>
      <c r="F17" s="72"/>
      <c r="G17" s="72"/>
    </row>
  </sheetData>
  <mergeCells count="11">
    <mergeCell ref="A13:G13"/>
    <mergeCell ref="A1:C1"/>
    <mergeCell ref="D1:G1"/>
    <mergeCell ref="D2:G2"/>
    <mergeCell ref="A5:G5"/>
    <mergeCell ref="A12:B12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3" orientation="landscape" r:id="rId1"/>
  <colBreaks count="1" manualBreakCount="1">
    <brk id="8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Normal="110" zoomScaleSheetLayoutView="100" workbookViewId="0">
      <selection activeCell="I13" sqref="I13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</cols>
  <sheetData>
    <row r="1" spans="1:12" ht="15.75" x14ac:dyDescent="0.25">
      <c r="A1" s="144"/>
      <c r="B1" s="144"/>
      <c r="C1" s="144"/>
      <c r="D1" s="145"/>
      <c r="E1" s="145"/>
      <c r="F1" s="145"/>
      <c r="G1" s="145"/>
    </row>
    <row r="2" spans="1:12" ht="15.75" x14ac:dyDescent="0.25">
      <c r="A2" s="63" t="s">
        <v>63</v>
      </c>
      <c r="B2" s="63"/>
      <c r="C2" s="64"/>
      <c r="D2" s="146" t="s">
        <v>40</v>
      </c>
      <c r="E2" s="146"/>
      <c r="F2" s="146"/>
      <c r="G2" s="146"/>
    </row>
    <row r="3" spans="1:12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1"/>
    </row>
    <row r="4" spans="1:12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  <c r="I4" s="2"/>
      <c r="J4" s="1"/>
    </row>
    <row r="5" spans="1:12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2"/>
      <c r="J5" s="1"/>
    </row>
    <row r="6" spans="1:12" x14ac:dyDescent="0.25">
      <c r="A6" s="25" t="s">
        <v>54</v>
      </c>
      <c r="B6" s="26" t="s">
        <v>43</v>
      </c>
      <c r="C6" s="25">
        <v>250</v>
      </c>
      <c r="D6" s="25">
        <f>4.2/250*C6</f>
        <v>4.2</v>
      </c>
      <c r="E6" s="25">
        <f>10.78/250*C6</f>
        <v>10.78</v>
      </c>
      <c r="F6" s="25">
        <f>17.38/250*C6</f>
        <v>17.38</v>
      </c>
      <c r="G6" s="25">
        <f>207/250*C6</f>
        <v>207</v>
      </c>
      <c r="H6" s="3"/>
      <c r="I6" s="2"/>
      <c r="J6" s="1"/>
    </row>
    <row r="7" spans="1:12" s="92" customFormat="1" x14ac:dyDescent="0.25">
      <c r="A7" s="97" t="s">
        <v>54</v>
      </c>
      <c r="B7" s="98" t="s">
        <v>67</v>
      </c>
      <c r="C7" s="97">
        <v>90</v>
      </c>
      <c r="D7" s="73">
        <f>8.9444/80*C7</f>
        <v>10.06245</v>
      </c>
      <c r="E7" s="73">
        <f>4.3544/80*C7</f>
        <v>4.8986999999999998</v>
      </c>
      <c r="F7" s="73">
        <f>21.08/80*C7</f>
        <v>23.714999999999996</v>
      </c>
      <c r="G7" s="73">
        <f>155.59/80*C7</f>
        <v>175.03875000000002</v>
      </c>
      <c r="H7" s="79"/>
      <c r="I7" s="78"/>
      <c r="J7" s="77"/>
    </row>
    <row r="8" spans="1:12" x14ac:dyDescent="0.25">
      <c r="A8" s="108" t="s">
        <v>54</v>
      </c>
      <c r="B8" s="107" t="s">
        <v>68</v>
      </c>
      <c r="C8" s="14">
        <v>150</v>
      </c>
      <c r="D8" s="109">
        <f>3.36986/130*C8</f>
        <v>3.8883000000000001</v>
      </c>
      <c r="E8" s="109">
        <f>3.82564/130*C8</f>
        <v>4.4142000000000001</v>
      </c>
      <c r="F8" s="17">
        <f>21.75368/130*C8</f>
        <v>25.100399999999997</v>
      </c>
      <c r="G8" s="16">
        <f>174/130*C8</f>
        <v>200.76923076923075</v>
      </c>
      <c r="H8" s="3"/>
      <c r="I8" s="2"/>
      <c r="J8" s="1"/>
    </row>
    <row r="9" spans="1:12" s="92" customFormat="1" x14ac:dyDescent="0.25">
      <c r="A9" s="108"/>
      <c r="B9" s="107" t="s">
        <v>12</v>
      </c>
      <c r="C9" s="108">
        <v>30</v>
      </c>
      <c r="D9" s="108">
        <f>C9*6.6/100</f>
        <v>1.98</v>
      </c>
      <c r="E9" s="108">
        <f>C9*1.1/100</f>
        <v>0.33</v>
      </c>
      <c r="F9" s="108">
        <f>C9*43.9/100</f>
        <v>13.17</v>
      </c>
      <c r="G9" s="108">
        <f t="shared" ref="G9" si="0">F9*4+E9*9+D9*4</f>
        <v>63.57</v>
      </c>
      <c r="H9" s="79"/>
      <c r="I9" s="78"/>
      <c r="J9" s="77"/>
    </row>
    <row r="10" spans="1:12" x14ac:dyDescent="0.25">
      <c r="A10" s="14"/>
      <c r="B10" s="15" t="s">
        <v>7</v>
      </c>
      <c r="C10" s="14">
        <v>40</v>
      </c>
      <c r="D10" s="14">
        <f>C10*7.7/100</f>
        <v>3.08</v>
      </c>
      <c r="E10" s="16">
        <f>C10*0.8/100</f>
        <v>0.32</v>
      </c>
      <c r="F10" s="14">
        <f>C10*49.5/100</f>
        <v>19.8</v>
      </c>
      <c r="G10" s="16">
        <f t="shared" ref="G10:G11" si="1">F10*4+E10*9+D10*4</f>
        <v>94.4</v>
      </c>
      <c r="H10" s="3"/>
      <c r="I10" s="2"/>
      <c r="J10" s="1"/>
    </row>
    <row r="11" spans="1:12" x14ac:dyDescent="0.25">
      <c r="A11" s="14" t="s">
        <v>20</v>
      </c>
      <c r="B11" s="24" t="s">
        <v>19</v>
      </c>
      <c r="C11" s="108">
        <v>200</v>
      </c>
      <c r="D11" s="109">
        <f>0.3/200*C11</f>
        <v>0.3</v>
      </c>
      <c r="E11" s="110">
        <f>0/200*C11</f>
        <v>0</v>
      </c>
      <c r="F11" s="109">
        <f>15.2/200*C11</f>
        <v>15.2</v>
      </c>
      <c r="G11" s="109">
        <f t="shared" si="1"/>
        <v>62</v>
      </c>
      <c r="H11" s="3"/>
      <c r="I11" s="2"/>
      <c r="J11" s="1"/>
    </row>
    <row r="12" spans="1:12" x14ac:dyDescent="0.25">
      <c r="A12" s="141" t="s">
        <v>14</v>
      </c>
      <c r="B12" s="142"/>
      <c r="C12" s="68">
        <f>SUM(C6:C11)</f>
        <v>760</v>
      </c>
      <c r="D12" s="19">
        <f>SUM(D6:D11)</f>
        <v>23.510750000000005</v>
      </c>
      <c r="E12" s="19">
        <f>SUM(E6:E11)</f>
        <v>20.742899999999999</v>
      </c>
      <c r="F12" s="19">
        <f>SUM(F6:F11)</f>
        <v>114.36539999999999</v>
      </c>
      <c r="G12" s="19">
        <f>SUM(G6:G11)</f>
        <v>802.77798076923079</v>
      </c>
      <c r="H12" s="3"/>
      <c r="I12" s="2"/>
      <c r="J12" s="1"/>
      <c r="L12" s="23"/>
    </row>
    <row r="13" spans="1:12" x14ac:dyDescent="0.25">
      <c r="A13" s="139"/>
      <c r="B13" s="140"/>
      <c r="C13" s="140"/>
      <c r="D13" s="140"/>
      <c r="E13" s="140"/>
      <c r="F13" s="140"/>
      <c r="G13" s="140"/>
      <c r="H13" s="3"/>
      <c r="I13" s="2"/>
      <c r="J13" s="1"/>
    </row>
  </sheetData>
  <mergeCells count="11">
    <mergeCell ref="A1:C1"/>
    <mergeCell ref="D1:G1"/>
    <mergeCell ref="D2:G2"/>
    <mergeCell ref="A3:A4"/>
    <mergeCell ref="B3:B4"/>
    <mergeCell ref="A13:G13"/>
    <mergeCell ref="A5:G5"/>
    <mergeCell ref="A12:B12"/>
    <mergeCell ref="C3:C4"/>
    <mergeCell ref="D3:F3"/>
    <mergeCell ref="G3:G4"/>
  </mergeCells>
  <pageMargins left="0.7" right="0.7" top="0.75" bottom="0.75" header="0.3" footer="0.3"/>
  <pageSetup paperSize="9" scale="91" orientation="landscape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10" zoomScaleSheetLayoutView="100" workbookViewId="0">
      <selection activeCell="G10" sqref="G10"/>
    </sheetView>
  </sheetViews>
  <sheetFormatPr defaultRowHeight="15" x14ac:dyDescent="0.25"/>
  <cols>
    <col min="1" max="1" width="12.8554687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9.42578125" customWidth="1"/>
  </cols>
  <sheetData>
    <row r="1" spans="1:11" ht="15.75" x14ac:dyDescent="0.25">
      <c r="A1" s="144"/>
      <c r="B1" s="144"/>
      <c r="C1" s="144"/>
      <c r="D1" s="145"/>
      <c r="E1" s="145"/>
      <c r="F1" s="145"/>
      <c r="G1" s="145"/>
    </row>
    <row r="2" spans="1:11" ht="15.75" x14ac:dyDescent="0.25">
      <c r="A2" s="160" t="s">
        <v>63</v>
      </c>
      <c r="B2" s="160"/>
      <c r="C2" s="64"/>
      <c r="D2" s="146" t="s">
        <v>41</v>
      </c>
      <c r="E2" s="146"/>
      <c r="F2" s="146"/>
      <c r="G2" s="146"/>
    </row>
    <row r="3" spans="1:11" ht="24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2"/>
      <c r="K3" s="1"/>
    </row>
    <row r="4" spans="1:11" ht="18.75" customHeight="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  <c r="I4" s="2"/>
      <c r="J4" s="2"/>
      <c r="K4" s="1"/>
    </row>
    <row r="5" spans="1:11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3"/>
      <c r="J5" s="2"/>
      <c r="K5" s="1"/>
    </row>
    <row r="6" spans="1:11" ht="25.5" x14ac:dyDescent="0.25">
      <c r="A6" s="111" t="s">
        <v>44</v>
      </c>
      <c r="B6" s="125" t="s">
        <v>47</v>
      </c>
      <c r="C6" s="111">
        <v>60</v>
      </c>
      <c r="D6" s="74">
        <f>3.02/90*C6</f>
        <v>2.0133333333333332</v>
      </c>
      <c r="E6" s="74">
        <f>6.36/90*C6</f>
        <v>4.24</v>
      </c>
      <c r="F6" s="74">
        <f>13.72/90*C6</f>
        <v>9.1466666666666665</v>
      </c>
      <c r="G6" s="74">
        <f>164.2/90*C6</f>
        <v>109.46666666666665</v>
      </c>
      <c r="H6" s="3"/>
      <c r="I6" s="3"/>
      <c r="J6" s="2"/>
      <c r="K6" s="1"/>
    </row>
    <row r="7" spans="1:11" x14ac:dyDescent="0.25">
      <c r="A7" s="76" t="s">
        <v>54</v>
      </c>
      <c r="B7" s="126" t="s">
        <v>69</v>
      </c>
      <c r="C7" s="76">
        <v>200</v>
      </c>
      <c r="D7" s="127">
        <f>7.3/200*C7</f>
        <v>7.3</v>
      </c>
      <c r="E7" s="127">
        <f>7.2/200*C7</f>
        <v>7.2000000000000011</v>
      </c>
      <c r="F7" s="127">
        <f>10.2/200*C7</f>
        <v>10.199999999999999</v>
      </c>
      <c r="G7" s="127">
        <f>157.3/200*C7</f>
        <v>157.30000000000001</v>
      </c>
      <c r="H7" s="3"/>
      <c r="I7" s="3"/>
      <c r="J7" s="2"/>
      <c r="K7" s="1"/>
    </row>
    <row r="8" spans="1:11" s="92" customFormat="1" x14ac:dyDescent="0.25">
      <c r="A8" s="76" t="s">
        <v>11</v>
      </c>
      <c r="B8" s="24" t="s">
        <v>10</v>
      </c>
      <c r="C8" s="76">
        <v>150</v>
      </c>
      <c r="D8" s="128">
        <f>C8*2.1/100</f>
        <v>3.15</v>
      </c>
      <c r="E8" s="128">
        <f>C8*4.5/100</f>
        <v>6.75</v>
      </c>
      <c r="F8" s="128">
        <f>C8*14.6/100</f>
        <v>21.9</v>
      </c>
      <c r="G8" s="128">
        <f>160.95/150*C8</f>
        <v>160.94999999999999</v>
      </c>
      <c r="H8" s="79"/>
      <c r="I8" s="79"/>
      <c r="J8" s="78"/>
      <c r="K8" s="77"/>
    </row>
    <row r="9" spans="1:11" x14ac:dyDescent="0.25">
      <c r="A9" s="76" t="s">
        <v>54</v>
      </c>
      <c r="B9" s="24" t="s">
        <v>55</v>
      </c>
      <c r="C9" s="76">
        <v>90</v>
      </c>
      <c r="D9" s="127">
        <f>12.11/100*C9</f>
        <v>10.898999999999999</v>
      </c>
      <c r="E9" s="127">
        <f>10.06/100*C9</f>
        <v>9.0540000000000003</v>
      </c>
      <c r="F9" s="127">
        <f>15.39/100*C9</f>
        <v>13.851000000000001</v>
      </c>
      <c r="G9" s="127">
        <f>264.02/100*C9</f>
        <v>237.61799999999997</v>
      </c>
      <c r="H9" s="3"/>
      <c r="I9" s="3"/>
      <c r="J9" s="2"/>
      <c r="K9" s="1"/>
    </row>
    <row r="10" spans="1:11" x14ac:dyDescent="0.25">
      <c r="A10" s="76"/>
      <c r="B10" s="24" t="s">
        <v>7</v>
      </c>
      <c r="C10" s="76">
        <v>30</v>
      </c>
      <c r="D10" s="76">
        <f>C10*7.7/100</f>
        <v>2.31</v>
      </c>
      <c r="E10" s="127">
        <f>C10*0.8/100</f>
        <v>0.24</v>
      </c>
      <c r="F10" s="76">
        <f>C10*49.5/100</f>
        <v>14.85</v>
      </c>
      <c r="G10" s="127">
        <f t="shared" ref="G10" si="0">F10*4+E10*9+D10*4</f>
        <v>70.8</v>
      </c>
      <c r="H10" s="3"/>
      <c r="I10" s="3"/>
      <c r="J10" s="2"/>
      <c r="K10" s="1"/>
    </row>
    <row r="11" spans="1:11" x14ac:dyDescent="0.25">
      <c r="A11" s="111" t="s">
        <v>56</v>
      </c>
      <c r="B11" s="27" t="s">
        <v>51</v>
      </c>
      <c r="C11" s="111">
        <v>200</v>
      </c>
      <c r="D11" s="129">
        <f>1/200*C11</f>
        <v>1</v>
      </c>
      <c r="E11" s="74">
        <f>0.2/200*C11</f>
        <v>0.2</v>
      </c>
      <c r="F11" s="74">
        <f>47.2/200*C11</f>
        <v>47.2</v>
      </c>
      <c r="G11" s="74">
        <f>86.6/200*C11</f>
        <v>86.6</v>
      </c>
      <c r="H11" s="3"/>
      <c r="I11" s="3"/>
      <c r="J11" s="2"/>
      <c r="K11" s="1"/>
    </row>
    <row r="12" spans="1:11" x14ac:dyDescent="0.25">
      <c r="A12" s="161" t="s">
        <v>14</v>
      </c>
      <c r="B12" s="162"/>
      <c r="C12" s="130">
        <f>SUM(C6:C11)</f>
        <v>730</v>
      </c>
      <c r="D12" s="131">
        <f>SUM(D6:D11)</f>
        <v>26.672333333333331</v>
      </c>
      <c r="E12" s="131">
        <f>SUM(E6:E11)</f>
        <v>27.683999999999997</v>
      </c>
      <c r="F12" s="131">
        <f>SUM(F6:F11)</f>
        <v>117.14766666666667</v>
      </c>
      <c r="G12" s="131">
        <f>SUM(G6:G11)</f>
        <v>822.73466666666661</v>
      </c>
      <c r="H12" s="3"/>
      <c r="I12" s="3"/>
      <c r="J12" s="2"/>
      <c r="K12" s="1"/>
    </row>
    <row r="13" spans="1:11" x14ac:dyDescent="0.25">
      <c r="A13" s="158"/>
      <c r="B13" s="159"/>
      <c r="C13" s="159"/>
      <c r="D13" s="159"/>
      <c r="E13" s="159"/>
      <c r="F13" s="159"/>
      <c r="G13" s="159"/>
      <c r="H13" s="3"/>
      <c r="I13" s="3"/>
      <c r="J13" s="2"/>
      <c r="K13" s="1"/>
    </row>
    <row r="14" spans="1:11" s="77" customFormat="1" x14ac:dyDescent="0.25"/>
  </sheetData>
  <mergeCells count="12">
    <mergeCell ref="A13:G13"/>
    <mergeCell ref="A5:G5"/>
    <mergeCell ref="A2:B2"/>
    <mergeCell ref="G3:G4"/>
    <mergeCell ref="A1:C1"/>
    <mergeCell ref="D1:G1"/>
    <mergeCell ref="D2:G2"/>
    <mergeCell ref="A12:B12"/>
    <mergeCell ref="A3:A4"/>
    <mergeCell ref="B3:B4"/>
    <mergeCell ref="C3:C4"/>
    <mergeCell ref="D3:F3"/>
  </mergeCells>
  <pageMargins left="0.7" right="0.7" top="0.75" bottom="0.75" header="0.3" footer="0.3"/>
  <pageSetup paperSize="9" scale="93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BreakPreview" zoomScaleNormal="110" zoomScaleSheetLayoutView="100" workbookViewId="0">
      <selection activeCell="G10" sqref="G10"/>
    </sheetView>
  </sheetViews>
  <sheetFormatPr defaultRowHeight="15" x14ac:dyDescent="0.25"/>
  <cols>
    <col min="1" max="1" width="13.4257812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5703125" customWidth="1"/>
    <col min="8" max="8" width="6.7109375" customWidth="1"/>
  </cols>
  <sheetData>
    <row r="1" spans="1:11" ht="15.75" x14ac:dyDescent="0.25">
      <c r="A1" s="144"/>
      <c r="B1" s="144"/>
      <c r="C1" s="144"/>
      <c r="D1" s="145"/>
      <c r="E1" s="145"/>
      <c r="F1" s="145"/>
      <c r="G1" s="145"/>
    </row>
    <row r="2" spans="1:11" ht="15.75" x14ac:dyDescent="0.25">
      <c r="A2" s="63" t="s">
        <v>63</v>
      </c>
      <c r="B2" s="63"/>
      <c r="C2" s="64"/>
      <c r="D2" s="146" t="s">
        <v>37</v>
      </c>
      <c r="E2" s="146"/>
      <c r="F2" s="146"/>
      <c r="G2" s="146"/>
    </row>
    <row r="3" spans="1:11" ht="18" customHeight="1" x14ac:dyDescent="0.25">
      <c r="A3" s="166" t="s">
        <v>0</v>
      </c>
      <c r="B3" s="166" t="s">
        <v>1</v>
      </c>
      <c r="C3" s="168" t="s">
        <v>2</v>
      </c>
      <c r="D3" s="166" t="s">
        <v>6</v>
      </c>
      <c r="E3" s="166"/>
      <c r="F3" s="166"/>
      <c r="G3" s="149" t="s">
        <v>48</v>
      </c>
      <c r="H3" s="165"/>
      <c r="I3" s="2"/>
      <c r="J3" s="2"/>
      <c r="K3" s="1"/>
    </row>
    <row r="4" spans="1:11" ht="42.75" customHeight="1" x14ac:dyDescent="0.25">
      <c r="A4" s="166"/>
      <c r="B4" s="166"/>
      <c r="C4" s="168"/>
      <c r="D4" s="13" t="s">
        <v>3</v>
      </c>
      <c r="E4" s="13" t="s">
        <v>4</v>
      </c>
      <c r="F4" s="13" t="s">
        <v>5</v>
      </c>
      <c r="G4" s="150"/>
      <c r="H4" s="165"/>
      <c r="I4" s="2"/>
      <c r="J4" s="2"/>
      <c r="K4" s="1"/>
    </row>
    <row r="5" spans="1:11" x14ac:dyDescent="0.25">
      <c r="A5" s="141" t="s">
        <v>8</v>
      </c>
      <c r="B5" s="143"/>
      <c r="C5" s="143"/>
      <c r="D5" s="143"/>
      <c r="E5" s="143"/>
      <c r="F5" s="143"/>
      <c r="G5" s="143"/>
      <c r="H5" s="10"/>
      <c r="I5" s="3"/>
      <c r="J5" s="2"/>
      <c r="K5" s="1"/>
    </row>
    <row r="6" spans="1:11" x14ac:dyDescent="0.25">
      <c r="A6" s="14" t="s">
        <v>54</v>
      </c>
      <c r="B6" s="15" t="s">
        <v>70</v>
      </c>
      <c r="C6" s="14">
        <v>200</v>
      </c>
      <c r="D6" s="48">
        <f>3.2/250*C6</f>
        <v>2.56</v>
      </c>
      <c r="E6" s="48">
        <f>5.55/250*C6</f>
        <v>4.4400000000000004</v>
      </c>
      <c r="F6" s="48">
        <f>35.13/250*C6</f>
        <v>28.104000000000003</v>
      </c>
      <c r="G6" s="48">
        <f>209.33/250*C6</f>
        <v>167.464</v>
      </c>
      <c r="H6" s="9"/>
      <c r="I6" s="3"/>
      <c r="J6" s="2"/>
      <c r="K6" s="1"/>
    </row>
    <row r="7" spans="1:11" s="92" customFormat="1" x14ac:dyDescent="0.25">
      <c r="A7" s="108" t="s">
        <v>54</v>
      </c>
      <c r="B7" s="107" t="s">
        <v>74</v>
      </c>
      <c r="C7" s="136">
        <v>20</v>
      </c>
      <c r="D7" s="108">
        <v>0.7</v>
      </c>
      <c r="E7" s="108">
        <v>0.64</v>
      </c>
      <c r="F7" s="137">
        <v>3.76</v>
      </c>
      <c r="G7" s="137">
        <v>24.24</v>
      </c>
      <c r="H7" s="79"/>
      <c r="I7" s="79"/>
      <c r="J7" s="78"/>
      <c r="K7" s="77"/>
    </row>
    <row r="8" spans="1:11" x14ac:dyDescent="0.25">
      <c r="A8" s="88" t="s">
        <v>28</v>
      </c>
      <c r="B8" s="89" t="s">
        <v>27</v>
      </c>
      <c r="C8" s="88">
        <v>150</v>
      </c>
      <c r="D8" s="84">
        <f>C8*3.5/100</f>
        <v>5.25</v>
      </c>
      <c r="E8" s="84">
        <f>C8*4.1/100</f>
        <v>6.15</v>
      </c>
      <c r="F8" s="84">
        <f>C8*23.5/100</f>
        <v>35.25</v>
      </c>
      <c r="G8" s="84">
        <f>217.35/150*C8</f>
        <v>217.35000000000002</v>
      </c>
      <c r="H8" s="9"/>
      <c r="I8" s="3"/>
      <c r="J8" s="2"/>
      <c r="K8" s="1"/>
    </row>
    <row r="9" spans="1:11" x14ac:dyDescent="0.25">
      <c r="A9" s="108" t="s">
        <v>54</v>
      </c>
      <c r="B9" s="107" t="s">
        <v>30</v>
      </c>
      <c r="C9" s="108">
        <v>90</v>
      </c>
      <c r="D9" s="109">
        <f>C9*17.5/100</f>
        <v>15.75</v>
      </c>
      <c r="E9" s="109">
        <f>C9*12.9/100</f>
        <v>11.61</v>
      </c>
      <c r="F9" s="109">
        <f>C9*9/100</f>
        <v>8.1</v>
      </c>
      <c r="G9" s="109">
        <f>204.79/90*C9</f>
        <v>204.78999999999996</v>
      </c>
      <c r="H9" s="9"/>
      <c r="I9" s="3"/>
      <c r="J9" s="2"/>
      <c r="K9" s="8"/>
    </row>
    <row r="10" spans="1:11" x14ac:dyDescent="0.25">
      <c r="A10" s="14" t="s">
        <v>29</v>
      </c>
      <c r="B10" s="15" t="s">
        <v>18</v>
      </c>
      <c r="C10" s="14">
        <v>30</v>
      </c>
      <c r="D10" s="14">
        <f>C10*1.3/50</f>
        <v>0.78</v>
      </c>
      <c r="E10" s="14">
        <f>C10*4.8/50</f>
        <v>2.88</v>
      </c>
      <c r="F10" s="14">
        <f>C10*4.7/50</f>
        <v>2.82</v>
      </c>
      <c r="G10" s="14">
        <f t="shared" ref="G10" si="0">F10*4+E10*9+D10*4</f>
        <v>40.319999999999993</v>
      </c>
      <c r="H10" s="9"/>
      <c r="I10" s="3"/>
      <c r="J10" s="2"/>
      <c r="K10" s="1"/>
    </row>
    <row r="11" spans="1:11" x14ac:dyDescent="0.25">
      <c r="A11" s="14"/>
      <c r="B11" s="15" t="s">
        <v>7</v>
      </c>
      <c r="C11" s="14">
        <v>30</v>
      </c>
      <c r="D11" s="14">
        <f>C11*7.7/100</f>
        <v>2.31</v>
      </c>
      <c r="E11" s="16">
        <f>C11*0.8/100</f>
        <v>0.24</v>
      </c>
      <c r="F11" s="14">
        <f>C11*49.5/100</f>
        <v>14.85</v>
      </c>
      <c r="G11" s="16">
        <f t="shared" ref="G11" si="1">F11*4+E11*9+D11*4</f>
        <v>70.8</v>
      </c>
      <c r="H11" s="9"/>
      <c r="I11" s="3"/>
      <c r="J11" s="2"/>
      <c r="K11" s="1"/>
    </row>
    <row r="12" spans="1:11" x14ac:dyDescent="0.25">
      <c r="A12" s="54" t="s">
        <v>52</v>
      </c>
      <c r="B12" s="27" t="s">
        <v>53</v>
      </c>
      <c r="C12" s="54">
        <v>200</v>
      </c>
      <c r="D12" s="54">
        <f>0.16/200*C12</f>
        <v>0.16</v>
      </c>
      <c r="E12" s="54">
        <f>0.16/200*C12</f>
        <v>0.16</v>
      </c>
      <c r="F12" s="54">
        <f>23.88/200*C12</f>
        <v>23.88</v>
      </c>
      <c r="G12" s="54">
        <f>97.6/200*C12</f>
        <v>97.6</v>
      </c>
      <c r="H12" s="9"/>
      <c r="I12" s="3"/>
      <c r="J12" s="2"/>
      <c r="K12" s="1"/>
    </row>
    <row r="13" spans="1:11" x14ac:dyDescent="0.25">
      <c r="A13" s="167" t="s">
        <v>14</v>
      </c>
      <c r="B13" s="167"/>
      <c r="C13" s="69">
        <f>SUM(C6:C12)</f>
        <v>720</v>
      </c>
      <c r="D13" s="19">
        <f>SUM(D6:D12)</f>
        <v>27.509999999999998</v>
      </c>
      <c r="E13" s="18">
        <f>SUM(E6:E12)</f>
        <v>26.119999999999997</v>
      </c>
      <c r="F13" s="18">
        <f>SUM(F6:F12)</f>
        <v>116.76399999999998</v>
      </c>
      <c r="G13" s="18">
        <f>SUM(G6:G12)</f>
        <v>822.56399999999996</v>
      </c>
      <c r="H13" s="9"/>
      <c r="I13" s="3"/>
      <c r="J13" s="2"/>
      <c r="K13" s="1"/>
    </row>
    <row r="14" spans="1:11" x14ac:dyDescent="0.25">
      <c r="A14" s="163"/>
      <c r="B14" s="164"/>
      <c r="C14" s="164"/>
      <c r="D14" s="164"/>
      <c r="E14" s="164"/>
      <c r="F14" s="164"/>
      <c r="G14" s="164"/>
      <c r="H14" s="11"/>
      <c r="I14" s="3"/>
      <c r="J14" s="2"/>
      <c r="K14" s="1"/>
    </row>
  </sheetData>
  <mergeCells count="12">
    <mergeCell ref="A14:G14"/>
    <mergeCell ref="A1:C1"/>
    <mergeCell ref="D1:G1"/>
    <mergeCell ref="D2:G2"/>
    <mergeCell ref="H3:H4"/>
    <mergeCell ref="D3:F3"/>
    <mergeCell ref="G3:G4"/>
    <mergeCell ref="A13:B13"/>
    <mergeCell ref="A3:A4"/>
    <mergeCell ref="B3:B4"/>
    <mergeCell ref="C3:C4"/>
    <mergeCell ref="A5:G5"/>
  </mergeCells>
  <pageMargins left="0.375" right="0.7" top="0.75" bottom="0.75" header="0.3" footer="0.3"/>
  <pageSetup paperSize="9" scale="9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view="pageBreakPreview" zoomScaleNormal="110" zoomScaleSheetLayoutView="100" workbookViewId="0">
      <selection activeCell="I24" sqref="I24"/>
    </sheetView>
  </sheetViews>
  <sheetFormatPr defaultRowHeight="15" x14ac:dyDescent="0.25"/>
  <cols>
    <col min="1" max="1" width="9.85546875" customWidth="1"/>
    <col min="2" max="2" width="27.7109375" customWidth="1"/>
    <col min="3" max="3" width="7" customWidth="1"/>
    <col min="4" max="4" width="6.42578125" customWidth="1"/>
    <col min="5" max="5" width="5.85546875" customWidth="1"/>
    <col min="6" max="6" width="8.140625" customWidth="1"/>
    <col min="7" max="7" width="9.42578125" customWidth="1"/>
  </cols>
  <sheetData>
    <row r="1" spans="1:11" ht="15.75" x14ac:dyDescent="0.25">
      <c r="A1" s="144"/>
      <c r="B1" s="144"/>
      <c r="C1" s="144"/>
      <c r="D1" s="145"/>
      <c r="E1" s="145"/>
      <c r="F1" s="145"/>
      <c r="G1" s="145"/>
    </row>
    <row r="2" spans="1:11" ht="15.75" x14ac:dyDescent="0.25">
      <c r="A2" s="63" t="s">
        <v>63</v>
      </c>
      <c r="B2" s="63"/>
      <c r="C2" s="64"/>
      <c r="D2" s="146" t="s">
        <v>36</v>
      </c>
      <c r="E2" s="146"/>
      <c r="F2" s="146"/>
      <c r="G2" s="146"/>
    </row>
    <row r="3" spans="1:11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2"/>
      <c r="K3" s="1"/>
    </row>
    <row r="4" spans="1:1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  <c r="I4" s="2"/>
      <c r="J4" s="2"/>
      <c r="K4" s="1"/>
    </row>
    <row r="5" spans="1:11" x14ac:dyDescent="0.25">
      <c r="A5" s="169" t="s">
        <v>8</v>
      </c>
      <c r="B5" s="170"/>
      <c r="C5" s="170"/>
      <c r="D5" s="170"/>
      <c r="E5" s="170"/>
      <c r="F5" s="170"/>
      <c r="G5" s="170"/>
      <c r="H5" s="3"/>
      <c r="I5" s="3"/>
      <c r="J5" s="2"/>
      <c r="K5" s="1"/>
    </row>
    <row r="6" spans="1:11" x14ac:dyDescent="0.25">
      <c r="A6" s="108" t="s">
        <v>9</v>
      </c>
      <c r="B6" s="122" t="s">
        <v>65</v>
      </c>
      <c r="C6" s="52">
        <v>200</v>
      </c>
      <c r="D6" s="52">
        <f>6.52/250*C6</f>
        <v>5.2160000000000002</v>
      </c>
      <c r="E6" s="52">
        <f>10.4/250*C6</f>
        <v>8.32</v>
      </c>
      <c r="F6" s="52">
        <f>13.9/250*C6</f>
        <v>11.120000000000001</v>
      </c>
      <c r="G6" s="52">
        <f>218.88/250*C6</f>
        <v>175.10399999999998</v>
      </c>
      <c r="H6" s="3"/>
      <c r="I6" s="3"/>
      <c r="J6" s="2"/>
      <c r="K6" s="1"/>
    </row>
    <row r="7" spans="1:11" x14ac:dyDescent="0.25">
      <c r="A7" s="57" t="s">
        <v>54</v>
      </c>
      <c r="B7" s="58" t="s">
        <v>75</v>
      </c>
      <c r="C7" s="57">
        <v>100</v>
      </c>
      <c r="D7" s="59">
        <f>5.98/100*C7</f>
        <v>5.98</v>
      </c>
      <c r="E7" s="59">
        <f>8.97/100*C7</f>
        <v>8.9700000000000006</v>
      </c>
      <c r="F7" s="59">
        <f>21.3/100*C7</f>
        <v>21.3</v>
      </c>
      <c r="G7" s="59">
        <f>173.4/100*C7</f>
        <v>173.4</v>
      </c>
      <c r="H7" s="3"/>
      <c r="I7" s="3"/>
      <c r="J7" s="2"/>
      <c r="K7" s="1"/>
    </row>
    <row r="8" spans="1:11" x14ac:dyDescent="0.25">
      <c r="A8" s="55" t="s">
        <v>54</v>
      </c>
      <c r="B8" s="56" t="s">
        <v>76</v>
      </c>
      <c r="C8" s="55">
        <v>200</v>
      </c>
      <c r="D8" s="47">
        <f>8.96/150*C8</f>
        <v>11.946666666666667</v>
      </c>
      <c r="E8" s="47">
        <f>7.2/150*C8</f>
        <v>9.6</v>
      </c>
      <c r="F8" s="132">
        <f>28.99/150*C8</f>
        <v>38.653333333333336</v>
      </c>
      <c r="G8" s="47">
        <f>206.4/150*C8</f>
        <v>275.20000000000005</v>
      </c>
      <c r="H8" s="3"/>
      <c r="I8" s="3"/>
      <c r="J8" s="2"/>
      <c r="K8" s="1"/>
    </row>
    <row r="9" spans="1:11" x14ac:dyDescent="0.25">
      <c r="A9" s="49"/>
      <c r="B9" s="45" t="s">
        <v>7</v>
      </c>
      <c r="C9" s="49">
        <v>30</v>
      </c>
      <c r="D9" s="49">
        <f>C9*7.7/100</f>
        <v>2.31</v>
      </c>
      <c r="E9" s="50">
        <f>C9*0.8/100</f>
        <v>0.24</v>
      </c>
      <c r="F9" s="49">
        <f>C9*49.5/100</f>
        <v>14.85</v>
      </c>
      <c r="G9" s="50">
        <f t="shared" ref="G9" si="0">F9*4+E9*9+D9*4</f>
        <v>70.8</v>
      </c>
      <c r="H9" s="3"/>
      <c r="I9" s="3"/>
      <c r="J9" s="2"/>
      <c r="K9" s="1"/>
    </row>
    <row r="10" spans="1:11" x14ac:dyDescent="0.25">
      <c r="A10" s="14" t="s">
        <v>23</v>
      </c>
      <c r="B10" s="15" t="s">
        <v>13</v>
      </c>
      <c r="C10" s="14">
        <v>200</v>
      </c>
      <c r="D10" s="14">
        <f>0.6/200*C10</f>
        <v>0.6</v>
      </c>
      <c r="E10" s="14">
        <f>0/200*C10</f>
        <v>0</v>
      </c>
      <c r="F10" s="14">
        <f>31.4/200*C10</f>
        <v>31.4</v>
      </c>
      <c r="G10" s="14">
        <f>128/200*C10</f>
        <v>128</v>
      </c>
      <c r="H10" s="3"/>
      <c r="I10" s="3"/>
      <c r="J10" s="2"/>
      <c r="K10" s="1"/>
    </row>
    <row r="11" spans="1:11" x14ac:dyDescent="0.25">
      <c r="A11" s="141" t="s">
        <v>14</v>
      </c>
      <c r="B11" s="142"/>
      <c r="C11" s="68">
        <f>SUM(C6:C10)</f>
        <v>730</v>
      </c>
      <c r="D11" s="19">
        <f>SUM(D6:D10)</f>
        <v>26.052666666666671</v>
      </c>
      <c r="E11" s="19">
        <f>SUM(E6:E10)</f>
        <v>27.13</v>
      </c>
      <c r="F11" s="19">
        <f>SUM(F6:F10)</f>
        <v>117.32333333333332</v>
      </c>
      <c r="G11" s="18">
        <f>SUM(G6:G10)</f>
        <v>822.50400000000002</v>
      </c>
      <c r="H11" s="3"/>
      <c r="I11" s="3"/>
      <c r="J11" s="2"/>
      <c r="K11" s="1"/>
    </row>
    <row r="12" spans="1:11" x14ac:dyDescent="0.25">
      <c r="A12" s="139"/>
      <c r="B12" s="140"/>
      <c r="C12" s="140"/>
      <c r="D12" s="140"/>
      <c r="E12" s="140"/>
      <c r="F12" s="140"/>
      <c r="G12" s="140"/>
      <c r="H12" s="3"/>
      <c r="I12" s="3"/>
      <c r="J12" s="2"/>
      <c r="K12" s="1"/>
    </row>
  </sheetData>
  <mergeCells count="11">
    <mergeCell ref="A5:G5"/>
    <mergeCell ref="A11:B11"/>
    <mergeCell ref="A12:G12"/>
    <mergeCell ref="G3:G4"/>
    <mergeCell ref="A1:C1"/>
    <mergeCell ref="D1:G1"/>
    <mergeCell ref="D2:G2"/>
    <mergeCell ref="A3:A4"/>
    <mergeCell ref="B3:B4"/>
    <mergeCell ref="C3:C4"/>
    <mergeCell ref="D3:F3"/>
  </mergeCells>
  <pageMargins left="0.7" right="0.7" top="0.75" bottom="0.75" header="0.3" footer="0.3"/>
  <pageSetup paperSize="9" scale="97"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Normal="110" zoomScaleSheetLayoutView="100" workbookViewId="0">
      <selection activeCell="K15" sqref="K15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11" ht="15.75" x14ac:dyDescent="0.25">
      <c r="A1" s="144"/>
      <c r="B1" s="144"/>
      <c r="C1" s="144"/>
      <c r="D1" s="145"/>
      <c r="E1" s="145"/>
      <c r="F1" s="145"/>
      <c r="G1" s="145"/>
    </row>
    <row r="2" spans="1:11" ht="15.75" x14ac:dyDescent="0.25">
      <c r="A2" s="63" t="s">
        <v>63</v>
      </c>
      <c r="B2" s="63"/>
      <c r="C2" s="64"/>
      <c r="D2" s="146" t="s">
        <v>38</v>
      </c>
      <c r="E2" s="146"/>
      <c r="F2" s="146"/>
      <c r="G2" s="146"/>
    </row>
    <row r="3" spans="1:11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12"/>
      <c r="I3" s="2"/>
      <c r="J3" s="2"/>
      <c r="K3" s="1"/>
    </row>
    <row r="4" spans="1:1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12"/>
      <c r="I4" s="2"/>
      <c r="J4" s="2"/>
      <c r="K4" s="1"/>
    </row>
    <row r="5" spans="1:11" x14ac:dyDescent="0.25">
      <c r="A5" s="141" t="s">
        <v>8</v>
      </c>
      <c r="B5" s="143"/>
      <c r="C5" s="143"/>
      <c r="D5" s="143"/>
      <c r="E5" s="143"/>
      <c r="F5" s="143"/>
      <c r="G5" s="143"/>
      <c r="H5" s="9"/>
      <c r="I5" s="3"/>
      <c r="J5" s="2"/>
      <c r="K5" s="1"/>
    </row>
    <row r="6" spans="1:11" ht="25.5" x14ac:dyDescent="0.25">
      <c r="A6" s="14" t="s">
        <v>54</v>
      </c>
      <c r="B6" s="20" t="s">
        <v>71</v>
      </c>
      <c r="C6" s="14">
        <v>200</v>
      </c>
      <c r="D6" s="16">
        <f>6.62/250*C6</f>
        <v>5.2960000000000003</v>
      </c>
      <c r="E6" s="16">
        <f>5.7/250*C6</f>
        <v>4.5600000000000005</v>
      </c>
      <c r="F6" s="16">
        <f>21/250*C6</f>
        <v>16.8</v>
      </c>
      <c r="G6" s="16">
        <f>141.7/250*C6</f>
        <v>113.36</v>
      </c>
      <c r="H6" s="9"/>
      <c r="I6" s="3"/>
      <c r="J6" s="2"/>
      <c r="K6" s="8"/>
    </row>
    <row r="7" spans="1:11" x14ac:dyDescent="0.25">
      <c r="A7" s="86" t="s">
        <v>54</v>
      </c>
      <c r="B7" s="85" t="s">
        <v>58</v>
      </c>
      <c r="C7" s="86">
        <v>200</v>
      </c>
      <c r="D7" s="133">
        <f>20.25/250*C7</f>
        <v>16.2</v>
      </c>
      <c r="E7" s="133">
        <f>22.56/250*C7</f>
        <v>18.048000000000002</v>
      </c>
      <c r="F7" s="133">
        <f>57.76/250*C7</f>
        <v>46.207999999999998</v>
      </c>
      <c r="G7" s="133">
        <f>496.72/250*C7</f>
        <v>397.37600000000003</v>
      </c>
      <c r="H7" s="9"/>
      <c r="I7" s="3"/>
      <c r="J7" s="2"/>
      <c r="K7" s="1"/>
    </row>
    <row r="8" spans="1:11" x14ac:dyDescent="0.25">
      <c r="A8" s="43" t="s">
        <v>57</v>
      </c>
      <c r="B8" s="42" t="s">
        <v>46</v>
      </c>
      <c r="C8" s="40">
        <v>100</v>
      </c>
      <c r="D8" s="44">
        <v>2.8</v>
      </c>
      <c r="E8" s="41">
        <v>6</v>
      </c>
      <c r="F8" s="41">
        <v>4.2</v>
      </c>
      <c r="G8" s="41">
        <v>94</v>
      </c>
      <c r="H8" s="9"/>
      <c r="I8" s="3"/>
      <c r="J8" s="2"/>
      <c r="K8" s="1"/>
    </row>
    <row r="9" spans="1:11" x14ac:dyDescent="0.25">
      <c r="A9" s="14"/>
      <c r="B9" s="15" t="s">
        <v>7</v>
      </c>
      <c r="C9" s="14">
        <v>20</v>
      </c>
      <c r="D9" s="14">
        <f>C9*7.7/100</f>
        <v>1.54</v>
      </c>
      <c r="E9" s="16">
        <f>C9*0.8/100</f>
        <v>0.16</v>
      </c>
      <c r="F9" s="14">
        <f>C9*49.5/100</f>
        <v>9.9</v>
      </c>
      <c r="G9" s="16">
        <f>F9*4+E9*9+D9*4</f>
        <v>47.2</v>
      </c>
      <c r="H9" s="9"/>
      <c r="I9" s="3"/>
      <c r="J9" s="2"/>
      <c r="K9" s="1"/>
    </row>
    <row r="10" spans="1:11" x14ac:dyDescent="0.25">
      <c r="A10" s="14"/>
      <c r="B10" s="15" t="s">
        <v>12</v>
      </c>
      <c r="C10" s="14">
        <v>20</v>
      </c>
      <c r="D10" s="14">
        <f>C10*6.6/100</f>
        <v>1.32</v>
      </c>
      <c r="E10" s="14">
        <f>C10*1.1/100</f>
        <v>0.22</v>
      </c>
      <c r="F10" s="14">
        <f>C10*43.9/100</f>
        <v>8.7799999999999994</v>
      </c>
      <c r="G10" s="14">
        <f>F10*4+E10*9+D10*4</f>
        <v>42.379999999999995</v>
      </c>
      <c r="H10" s="9"/>
      <c r="I10" s="3"/>
      <c r="J10" s="2"/>
      <c r="K10" s="1"/>
    </row>
    <row r="11" spans="1:11" x14ac:dyDescent="0.25">
      <c r="A11" s="14" t="s">
        <v>23</v>
      </c>
      <c r="B11" s="15" t="s">
        <v>13</v>
      </c>
      <c r="C11" s="108">
        <v>200</v>
      </c>
      <c r="D11" s="109">
        <f>0.6/200*C11</f>
        <v>0.6</v>
      </c>
      <c r="E11" s="110">
        <f>0/200*C11</f>
        <v>0</v>
      </c>
      <c r="F11" s="109">
        <f>31.4/200*C11</f>
        <v>31.4</v>
      </c>
      <c r="G11" s="110">
        <f>128/200*C11</f>
        <v>128</v>
      </c>
      <c r="H11" s="9"/>
      <c r="I11" s="3"/>
      <c r="J11" s="2"/>
      <c r="K11" s="1"/>
    </row>
    <row r="12" spans="1:11" x14ac:dyDescent="0.25">
      <c r="A12" s="141" t="s">
        <v>14</v>
      </c>
      <c r="B12" s="142"/>
      <c r="C12" s="69">
        <f t="shared" ref="C12:G12" si="0">SUM(C6:C11)</f>
        <v>740</v>
      </c>
      <c r="D12" s="19">
        <f t="shared" si="0"/>
        <v>27.756</v>
      </c>
      <c r="E12" s="19">
        <f t="shared" si="0"/>
        <v>28.988000000000003</v>
      </c>
      <c r="F12" s="19">
        <f t="shared" si="0"/>
        <v>117.28800000000001</v>
      </c>
      <c r="G12" s="19">
        <f t="shared" si="0"/>
        <v>822.31600000000014</v>
      </c>
      <c r="H12" s="9"/>
      <c r="I12" s="3"/>
      <c r="J12" s="2"/>
      <c r="K12" s="1"/>
    </row>
    <row r="13" spans="1:11" x14ac:dyDescent="0.25">
      <c r="A13" s="139"/>
      <c r="B13" s="140"/>
      <c r="C13" s="140"/>
      <c r="D13" s="140"/>
      <c r="E13" s="140"/>
      <c r="F13" s="140"/>
      <c r="G13" s="140"/>
      <c r="H13" s="9"/>
      <c r="I13" s="3"/>
      <c r="J13" s="2"/>
      <c r="K13" s="1"/>
    </row>
  </sheetData>
  <mergeCells count="11">
    <mergeCell ref="A5:G5"/>
    <mergeCell ref="A12:B12"/>
    <mergeCell ref="A13:G13"/>
    <mergeCell ref="G3:G4"/>
    <mergeCell ref="A1:C1"/>
    <mergeCell ref="D1:G1"/>
    <mergeCell ref="D2:G2"/>
    <mergeCell ref="A3:A4"/>
    <mergeCell ref="B3:B4"/>
    <mergeCell ref="C3:C4"/>
    <mergeCell ref="D3:F3"/>
  </mergeCells>
  <pageMargins left="0.5208333333333333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zoomScaleNormal="110" zoomScaleSheetLayoutView="100" workbookViewId="0">
      <selection activeCell="G9" sqref="G9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28515625" customWidth="1"/>
  </cols>
  <sheetData>
    <row r="1" spans="1:8" ht="15.75" x14ac:dyDescent="0.25">
      <c r="A1" s="144"/>
      <c r="B1" s="144"/>
      <c r="C1" s="144"/>
      <c r="D1" s="145"/>
      <c r="E1" s="145"/>
      <c r="F1" s="145"/>
      <c r="G1" s="145"/>
    </row>
    <row r="2" spans="1:8" ht="15.75" x14ac:dyDescent="0.25">
      <c r="A2" s="160" t="s">
        <v>63</v>
      </c>
      <c r="B2" s="160"/>
      <c r="C2" s="64"/>
      <c r="D2" s="146" t="s">
        <v>39</v>
      </c>
      <c r="E2" s="146"/>
      <c r="F2" s="146"/>
      <c r="G2" s="146"/>
    </row>
    <row r="3" spans="1:8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</row>
    <row r="4" spans="1:8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</row>
    <row r="5" spans="1:8" x14ac:dyDescent="0.25">
      <c r="A5" s="141" t="s">
        <v>8</v>
      </c>
      <c r="B5" s="143"/>
      <c r="C5" s="143"/>
      <c r="D5" s="143"/>
      <c r="E5" s="143"/>
      <c r="F5" s="143"/>
      <c r="G5" s="143"/>
      <c r="H5" s="3"/>
    </row>
    <row r="6" spans="1:8" x14ac:dyDescent="0.25">
      <c r="A6" s="97" t="s">
        <v>42</v>
      </c>
      <c r="B6" s="98" t="s">
        <v>43</v>
      </c>
      <c r="C6" s="97">
        <v>200</v>
      </c>
      <c r="D6" s="97">
        <f>2.2/250*C6</f>
        <v>1.76</v>
      </c>
      <c r="E6" s="97">
        <f>2.78/250*C6</f>
        <v>2.2239999999999998</v>
      </c>
      <c r="F6" s="97">
        <f>15.38/250*C6</f>
        <v>12.304</v>
      </c>
      <c r="G6" s="97">
        <v>106</v>
      </c>
      <c r="H6" s="3"/>
    </row>
    <row r="7" spans="1:8" s="135" customFormat="1" x14ac:dyDescent="0.25">
      <c r="A7" s="106" t="s">
        <v>54</v>
      </c>
      <c r="B7" s="112" t="s">
        <v>59</v>
      </c>
      <c r="C7" s="106">
        <v>150</v>
      </c>
      <c r="D7" s="117">
        <f>2.7/200*C7</f>
        <v>2.0250000000000004</v>
      </c>
      <c r="E7" s="117">
        <f>4.48/200*C7</f>
        <v>3.3600000000000003</v>
      </c>
      <c r="F7" s="117">
        <f>68.6/200*C7</f>
        <v>51.449999999999996</v>
      </c>
      <c r="G7" s="117">
        <f>280.2/200*C7</f>
        <v>210.15</v>
      </c>
      <c r="H7" s="134"/>
    </row>
    <row r="8" spans="1:8" s="135" customFormat="1" x14ac:dyDescent="0.25">
      <c r="A8" s="106" t="s">
        <v>54</v>
      </c>
      <c r="B8" s="112" t="s">
        <v>60</v>
      </c>
      <c r="C8" s="106">
        <v>100</v>
      </c>
      <c r="D8" s="117">
        <f>14.8/100*C8</f>
        <v>14.800000000000002</v>
      </c>
      <c r="E8" s="117">
        <f>16.65/100*C8</f>
        <v>16.649999999999999</v>
      </c>
      <c r="F8" s="117">
        <f>9.82/100*C8</f>
        <v>9.82</v>
      </c>
      <c r="G8" s="117">
        <f>229.9/100*C8</f>
        <v>229.9</v>
      </c>
      <c r="H8" s="134"/>
    </row>
    <row r="9" spans="1:8" x14ac:dyDescent="0.25">
      <c r="A9" s="14" t="s">
        <v>29</v>
      </c>
      <c r="B9" s="15" t="s">
        <v>18</v>
      </c>
      <c r="C9" s="14">
        <v>30</v>
      </c>
      <c r="D9" s="14">
        <f>C9*1.3/50</f>
        <v>0.78</v>
      </c>
      <c r="E9" s="14">
        <f>C9*4.8/50</f>
        <v>2.88</v>
      </c>
      <c r="F9" s="14">
        <f>C9*4.7/50</f>
        <v>2.82</v>
      </c>
      <c r="G9" s="14">
        <f t="shared" ref="G9" si="0">F9*4+E9*9+D9*4</f>
        <v>40.319999999999993</v>
      </c>
      <c r="H9" s="3"/>
    </row>
    <row r="10" spans="1:8" x14ac:dyDescent="0.25">
      <c r="A10" s="14"/>
      <c r="B10" s="15" t="s">
        <v>7</v>
      </c>
      <c r="C10" s="14">
        <v>30</v>
      </c>
      <c r="D10" s="14">
        <f>C10*7.7/100</f>
        <v>2.31</v>
      </c>
      <c r="E10" s="16">
        <f>C10*0.8/100</f>
        <v>0.24</v>
      </c>
      <c r="F10" s="14">
        <f>C10*49.5/100</f>
        <v>14.85</v>
      </c>
      <c r="G10" s="16">
        <f>F10*4+E10*9+D10*4</f>
        <v>70.8</v>
      </c>
      <c r="H10" s="3"/>
    </row>
    <row r="11" spans="1:8" x14ac:dyDescent="0.25">
      <c r="A11" s="14"/>
      <c r="B11" s="15" t="s">
        <v>12</v>
      </c>
      <c r="C11" s="14">
        <v>30</v>
      </c>
      <c r="D11" s="14">
        <f>C11*6.6/100</f>
        <v>1.98</v>
      </c>
      <c r="E11" s="14">
        <f>C11*1.1/100</f>
        <v>0.33</v>
      </c>
      <c r="F11" s="14">
        <f>C11*43.9/100</f>
        <v>13.17</v>
      </c>
      <c r="G11" s="14">
        <f>F11*4+E11*9+D11*4</f>
        <v>63.57</v>
      </c>
      <c r="H11" s="3"/>
    </row>
    <row r="12" spans="1:8" x14ac:dyDescent="0.25">
      <c r="A12" s="108" t="s">
        <v>22</v>
      </c>
      <c r="B12" s="107" t="s">
        <v>21</v>
      </c>
      <c r="C12" s="108">
        <v>200</v>
      </c>
      <c r="D12" s="109">
        <v>3.8719999999999999</v>
      </c>
      <c r="E12" s="109">
        <v>3.8000000000000003</v>
      </c>
      <c r="F12" s="109">
        <v>13.092000000000001</v>
      </c>
      <c r="G12" s="109">
        <v>101.88</v>
      </c>
      <c r="H12" s="3"/>
    </row>
    <row r="13" spans="1:8" x14ac:dyDescent="0.25">
      <c r="A13" s="141" t="s">
        <v>14</v>
      </c>
      <c r="B13" s="142"/>
      <c r="C13" s="68">
        <f t="shared" ref="C13:F13" si="1">SUM(C6:C12)</f>
        <v>740</v>
      </c>
      <c r="D13" s="19">
        <f t="shared" si="1"/>
        <v>27.527000000000001</v>
      </c>
      <c r="E13" s="19">
        <f t="shared" si="1"/>
        <v>29.483999999999995</v>
      </c>
      <c r="F13" s="18">
        <f t="shared" si="1"/>
        <v>117.50599999999999</v>
      </c>
      <c r="G13" s="19">
        <f>SUM(G6:G12)</f>
        <v>822.61999999999989</v>
      </c>
      <c r="H13" s="3"/>
    </row>
    <row r="14" spans="1:8" x14ac:dyDescent="0.25">
      <c r="A14" s="139"/>
      <c r="B14" s="140"/>
      <c r="C14" s="140"/>
      <c r="D14" s="140"/>
      <c r="E14" s="140"/>
      <c r="F14" s="140"/>
      <c r="G14" s="140"/>
      <c r="H14" s="3"/>
    </row>
    <row r="24" spans="2:8" x14ac:dyDescent="0.25">
      <c r="B24" s="3"/>
      <c r="C24" s="4"/>
      <c r="D24" s="3"/>
      <c r="E24" s="5"/>
      <c r="F24" s="5"/>
      <c r="G24" s="3"/>
      <c r="H24" s="5"/>
    </row>
  </sheetData>
  <mergeCells count="12">
    <mergeCell ref="A5:G5"/>
    <mergeCell ref="A13:B13"/>
    <mergeCell ref="A14:G14"/>
    <mergeCell ref="G3:G4"/>
    <mergeCell ref="A1:C1"/>
    <mergeCell ref="D1:G1"/>
    <mergeCell ref="D2:G2"/>
    <mergeCell ref="A2:B2"/>
    <mergeCell ref="A3:A4"/>
    <mergeCell ref="B3:B4"/>
    <mergeCell ref="C3:C4"/>
    <mergeCell ref="D3:F3"/>
  </mergeCells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view="pageBreakPreview" zoomScaleNormal="110" zoomScaleSheetLayoutView="100" workbookViewId="0">
      <selection activeCell="G10" sqref="G10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6" max="6" width="8.5703125" customWidth="1"/>
    <col min="7" max="7" width="8.85546875" customWidth="1"/>
    <col min="8" max="8" width="9" customWidth="1"/>
    <col min="9" max="10" width="9.140625" hidden="1" customWidth="1"/>
  </cols>
  <sheetData>
    <row r="1" spans="1:11" ht="15.75" x14ac:dyDescent="0.25">
      <c r="A1" s="144"/>
      <c r="B1" s="144"/>
      <c r="C1" s="144"/>
      <c r="D1" s="145"/>
      <c r="E1" s="145"/>
      <c r="F1" s="145"/>
      <c r="G1" s="145"/>
    </row>
    <row r="2" spans="1:11" ht="15.75" x14ac:dyDescent="0.25">
      <c r="A2" s="63" t="s">
        <v>63</v>
      </c>
      <c r="B2" s="63"/>
      <c r="C2" s="64"/>
      <c r="D2" s="146" t="s">
        <v>40</v>
      </c>
      <c r="E2" s="146"/>
      <c r="F2" s="146"/>
      <c r="G2" s="146"/>
    </row>
    <row r="3" spans="1:11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50</v>
      </c>
      <c r="H3" s="2"/>
      <c r="I3" s="2"/>
      <c r="J3" s="2"/>
      <c r="K3" s="1"/>
    </row>
    <row r="4" spans="1:1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  <c r="I4" s="2"/>
      <c r="J4" s="2"/>
      <c r="K4" s="1"/>
    </row>
    <row r="5" spans="1:11" x14ac:dyDescent="0.25">
      <c r="A5" s="141" t="s">
        <v>8</v>
      </c>
      <c r="B5" s="143"/>
      <c r="C5" s="143"/>
      <c r="D5" s="143"/>
      <c r="E5" s="143"/>
      <c r="F5" s="143"/>
      <c r="G5" s="143"/>
      <c r="H5" s="3"/>
      <c r="I5" s="3"/>
      <c r="J5" s="2"/>
      <c r="K5" s="1"/>
    </row>
    <row r="6" spans="1:11" x14ac:dyDescent="0.25">
      <c r="A6" s="14" t="s">
        <v>33</v>
      </c>
      <c r="B6" s="15" t="s">
        <v>32</v>
      </c>
      <c r="C6" s="14">
        <v>60</v>
      </c>
      <c r="D6" s="16">
        <f>C6*11.8/100</f>
        <v>7.08</v>
      </c>
      <c r="E6" s="16">
        <f>C6*5/100</f>
        <v>3</v>
      </c>
      <c r="F6" s="16">
        <f>C6*27.9/100</f>
        <v>16.739999999999998</v>
      </c>
      <c r="G6" s="16">
        <v>42.78</v>
      </c>
      <c r="H6" s="3"/>
      <c r="I6" s="3"/>
      <c r="J6" s="2"/>
      <c r="K6" s="1"/>
    </row>
    <row r="7" spans="1:11" x14ac:dyDescent="0.25">
      <c r="A7" s="14" t="s">
        <v>24</v>
      </c>
      <c r="B7" s="103" t="s">
        <v>62</v>
      </c>
      <c r="C7" s="14">
        <v>200</v>
      </c>
      <c r="D7" s="16">
        <f>C7*1.17/100</f>
        <v>2.34</v>
      </c>
      <c r="E7" s="16">
        <f>C7*2.05/100</f>
        <v>4.0999999999999996</v>
      </c>
      <c r="F7" s="16">
        <f>C7*9.94/100</f>
        <v>19.88</v>
      </c>
      <c r="G7" s="16">
        <f t="shared" ref="G7:G10" si="0">F7*4+E7*9+D7*4</f>
        <v>125.77999999999999</v>
      </c>
      <c r="H7" s="3"/>
      <c r="I7" s="3"/>
      <c r="J7" s="2"/>
      <c r="K7" s="1"/>
    </row>
    <row r="8" spans="1:11" x14ac:dyDescent="0.25">
      <c r="A8" s="14" t="s">
        <v>11</v>
      </c>
      <c r="B8" s="20" t="s">
        <v>10</v>
      </c>
      <c r="C8" s="14">
        <v>200</v>
      </c>
      <c r="D8" s="16">
        <f>C8*2.1/100</f>
        <v>4.2</v>
      </c>
      <c r="E8" s="16">
        <f>C8*4.5/100</f>
        <v>9</v>
      </c>
      <c r="F8" s="16">
        <f>C8*14.6/100</f>
        <v>29.2</v>
      </c>
      <c r="G8" s="16">
        <v>214.56</v>
      </c>
      <c r="H8" s="3"/>
      <c r="I8" s="3"/>
      <c r="J8" s="2"/>
      <c r="K8" s="1"/>
    </row>
    <row r="9" spans="1:11" x14ac:dyDescent="0.25">
      <c r="A9" s="14" t="s">
        <v>54</v>
      </c>
      <c r="B9" s="15" t="s">
        <v>66</v>
      </c>
      <c r="C9" s="14">
        <v>90</v>
      </c>
      <c r="D9" s="16">
        <f>12.91/100*C9</f>
        <v>11.619</v>
      </c>
      <c r="E9" s="16">
        <f>14.158/100*C9</f>
        <v>12.742199999999999</v>
      </c>
      <c r="F9" s="16">
        <f>29.938/100*C9</f>
        <v>26.944199999999999</v>
      </c>
      <c r="G9" s="16">
        <f>354.8/100*C9</f>
        <v>319.32</v>
      </c>
      <c r="H9" s="3"/>
      <c r="I9" s="3"/>
      <c r="J9" s="2"/>
      <c r="K9" s="1"/>
    </row>
    <row r="10" spans="1:11" x14ac:dyDescent="0.25">
      <c r="A10" s="14"/>
      <c r="B10" s="15" t="s">
        <v>7</v>
      </c>
      <c r="C10" s="14">
        <v>20</v>
      </c>
      <c r="D10" s="14">
        <f>C10*7.7/100</f>
        <v>1.54</v>
      </c>
      <c r="E10" s="16">
        <f>C10*0.8/100</f>
        <v>0.16</v>
      </c>
      <c r="F10" s="14">
        <f>C10*49.5/100</f>
        <v>9.9</v>
      </c>
      <c r="G10" s="16">
        <f t="shared" si="0"/>
        <v>47.2</v>
      </c>
      <c r="H10" s="3"/>
      <c r="I10" s="3"/>
      <c r="J10" s="2"/>
      <c r="K10" s="1"/>
    </row>
    <row r="11" spans="1:11" x14ac:dyDescent="0.25">
      <c r="A11" s="14" t="s">
        <v>35</v>
      </c>
      <c r="B11" s="15" t="s">
        <v>34</v>
      </c>
      <c r="C11" s="43">
        <v>200</v>
      </c>
      <c r="D11" s="44">
        <f>0.4/200*C11</f>
        <v>0.4</v>
      </c>
      <c r="E11" s="44">
        <f>0.27/200*C11</f>
        <v>0.27</v>
      </c>
      <c r="F11" s="44">
        <f>17.2/200*C11</f>
        <v>17.2</v>
      </c>
      <c r="G11" s="44">
        <f>72.83/200*C11</f>
        <v>72.83</v>
      </c>
      <c r="H11" s="3"/>
      <c r="I11" s="3"/>
      <c r="J11" s="2"/>
      <c r="K11" s="1"/>
    </row>
    <row r="12" spans="1:11" x14ac:dyDescent="0.25">
      <c r="A12" s="141" t="s">
        <v>14</v>
      </c>
      <c r="B12" s="142"/>
      <c r="C12" s="68">
        <f t="shared" ref="C12:E12" si="1">SUM(C6:C11)</f>
        <v>770</v>
      </c>
      <c r="D12" s="19">
        <f t="shared" si="1"/>
        <v>27.178999999999998</v>
      </c>
      <c r="E12" s="19">
        <f t="shared" si="1"/>
        <v>29.272199999999998</v>
      </c>
      <c r="F12" s="19">
        <f>SUM(F6:F11)</f>
        <v>119.8642</v>
      </c>
      <c r="G12" s="19">
        <f>SUM(G6:G11)</f>
        <v>822.47000000000014</v>
      </c>
      <c r="H12" s="3"/>
      <c r="I12" s="3"/>
      <c r="J12" s="2"/>
      <c r="K12" s="1"/>
    </row>
    <row r="13" spans="1:11" x14ac:dyDescent="0.25">
      <c r="A13" s="139"/>
      <c r="B13" s="140"/>
      <c r="C13" s="140"/>
      <c r="D13" s="140"/>
      <c r="E13" s="140"/>
      <c r="F13" s="140"/>
      <c r="G13" s="140"/>
      <c r="H13" s="3"/>
      <c r="I13" s="3"/>
      <c r="J13" s="2"/>
      <c r="K13" s="1"/>
    </row>
  </sheetData>
  <mergeCells count="11">
    <mergeCell ref="A5:G5"/>
    <mergeCell ref="A12:B12"/>
    <mergeCell ref="A13:G13"/>
    <mergeCell ref="G3:G4"/>
    <mergeCell ref="A1:C1"/>
    <mergeCell ref="D1:G1"/>
    <mergeCell ref="D2:G2"/>
    <mergeCell ref="A3:A4"/>
    <mergeCell ref="B3:B4"/>
    <mergeCell ref="C3:C4"/>
    <mergeCell ref="D3:F3"/>
  </mergeCells>
  <pageMargins left="0.7" right="0.7" top="0.75" bottom="0.75" header="0.3" footer="0.3"/>
  <pageSetup paperSize="9" scale="91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view="pageBreakPreview" zoomScaleNormal="110" zoomScaleSheetLayoutView="100" workbookViewId="0">
      <selection activeCell="G7" sqref="G7"/>
    </sheetView>
  </sheetViews>
  <sheetFormatPr defaultRowHeight="15" x14ac:dyDescent="0.25"/>
  <cols>
    <col min="1" max="1" width="9.85546875" customWidth="1"/>
    <col min="2" max="2" width="25.7109375" customWidth="1"/>
    <col min="3" max="3" width="8" customWidth="1"/>
    <col min="4" max="4" width="7.7109375" customWidth="1"/>
    <col min="5" max="5" width="7" customWidth="1"/>
    <col min="7" max="7" width="10" customWidth="1"/>
    <col min="8" max="9" width="9.140625" hidden="1" customWidth="1"/>
  </cols>
  <sheetData>
    <row r="1" spans="1:30" ht="15.75" x14ac:dyDescent="0.25">
      <c r="A1" s="144"/>
      <c r="B1" s="144"/>
      <c r="C1" s="144"/>
      <c r="D1" s="145"/>
      <c r="E1" s="145"/>
      <c r="F1" s="145"/>
      <c r="G1" s="145"/>
    </row>
    <row r="2" spans="1:30" ht="15.75" x14ac:dyDescent="0.25">
      <c r="A2" s="63" t="s">
        <v>63</v>
      </c>
      <c r="B2" s="63"/>
      <c r="C2" s="64"/>
      <c r="D2" s="146" t="s">
        <v>41</v>
      </c>
      <c r="E2" s="146"/>
      <c r="F2" s="146"/>
      <c r="G2" s="146"/>
    </row>
    <row r="3" spans="1:30" ht="18" customHeight="1" x14ac:dyDescent="0.25">
      <c r="A3" s="147" t="s">
        <v>0</v>
      </c>
      <c r="B3" s="147" t="s">
        <v>1</v>
      </c>
      <c r="C3" s="149" t="s">
        <v>2</v>
      </c>
      <c r="D3" s="151" t="s">
        <v>6</v>
      </c>
      <c r="E3" s="152"/>
      <c r="F3" s="153"/>
      <c r="G3" s="149" t="s">
        <v>48</v>
      </c>
      <c r="H3" s="2"/>
      <c r="I3" s="2"/>
      <c r="J3" s="1"/>
    </row>
    <row r="4" spans="1:30" ht="58.5" customHeight="1" x14ac:dyDescent="0.25">
      <c r="A4" s="148"/>
      <c r="B4" s="148"/>
      <c r="C4" s="150"/>
      <c r="D4" s="13" t="s">
        <v>3</v>
      </c>
      <c r="E4" s="13" t="s">
        <v>4</v>
      </c>
      <c r="F4" s="13" t="s">
        <v>5</v>
      </c>
      <c r="G4" s="150"/>
      <c r="H4" s="2"/>
      <c r="I4" s="2"/>
      <c r="J4" s="1"/>
    </row>
    <row r="5" spans="1:30" x14ac:dyDescent="0.25">
      <c r="A5" s="169" t="s">
        <v>8</v>
      </c>
      <c r="B5" s="170"/>
      <c r="C5" s="170"/>
      <c r="D5" s="170"/>
      <c r="E5" s="170"/>
      <c r="F5" s="170"/>
      <c r="G5" s="170"/>
      <c r="H5" s="3"/>
      <c r="I5" s="2"/>
      <c r="J5" s="1"/>
    </row>
    <row r="6" spans="1:30" s="96" customFormat="1" x14ac:dyDescent="0.25">
      <c r="A6" s="87"/>
      <c r="B6" s="93" t="s">
        <v>72</v>
      </c>
      <c r="C6" s="94">
        <v>50</v>
      </c>
      <c r="D6" s="95">
        <f>0.44/30*C6</f>
        <v>0.73333333333333328</v>
      </c>
      <c r="E6" s="95">
        <f>2.84/30*C6</f>
        <v>4.7333333333333334</v>
      </c>
      <c r="F6" s="95">
        <f>3/30*C6</f>
        <v>5</v>
      </c>
      <c r="G6" s="95">
        <f>32.1/30*C6</f>
        <v>53.5</v>
      </c>
      <c r="H6" s="35"/>
      <c r="I6" s="138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1:30" ht="25.5" x14ac:dyDescent="0.25">
      <c r="A7" s="83" t="s">
        <v>26</v>
      </c>
      <c r="B7" s="32" t="s">
        <v>25</v>
      </c>
      <c r="C7" s="121">
        <v>200</v>
      </c>
      <c r="D7" s="52">
        <f>5.72/200*C7</f>
        <v>5.72</v>
      </c>
      <c r="E7" s="52">
        <f>7.5/200*C7</f>
        <v>7.5</v>
      </c>
      <c r="F7" s="53">
        <f>10/200*C7</f>
        <v>10</v>
      </c>
      <c r="G7" s="52">
        <f>131.6/200*C7</f>
        <v>131.6</v>
      </c>
      <c r="H7" s="3"/>
      <c r="I7" s="2"/>
      <c r="J7" s="1"/>
    </row>
    <row r="8" spans="1:30" ht="25.5" x14ac:dyDescent="0.25">
      <c r="A8" s="99" t="s">
        <v>54</v>
      </c>
      <c r="B8" s="27" t="s">
        <v>45</v>
      </c>
      <c r="C8" s="111">
        <v>200</v>
      </c>
      <c r="D8" s="74">
        <f>14.6/230*C8</f>
        <v>12.695652173913045</v>
      </c>
      <c r="E8" s="74">
        <f>18.1/230*C8</f>
        <v>15.739130434782611</v>
      </c>
      <c r="F8" s="74">
        <f>44.26/230*C8</f>
        <v>38.486956521739131</v>
      </c>
      <c r="G8" s="74">
        <f>404.47/230*C8</f>
        <v>351.71304347826089</v>
      </c>
      <c r="H8" s="3"/>
      <c r="I8" s="2"/>
      <c r="J8" s="1"/>
    </row>
    <row r="9" spans="1:30" x14ac:dyDescent="0.25">
      <c r="A9" s="14"/>
      <c r="B9" s="15" t="s">
        <v>7</v>
      </c>
      <c r="C9" s="60">
        <v>40</v>
      </c>
      <c r="D9" s="60">
        <f>C9*7.7/100</f>
        <v>3.08</v>
      </c>
      <c r="E9" s="62">
        <f>C9*0.8/100</f>
        <v>0.32</v>
      </c>
      <c r="F9" s="60">
        <f>C9*49.5/100</f>
        <v>19.8</v>
      </c>
      <c r="G9" s="62">
        <f t="shared" ref="G9:G10" si="0">F9*4+E9*9+D9*4</f>
        <v>94.4</v>
      </c>
      <c r="H9" s="3"/>
      <c r="I9" s="2"/>
      <c r="J9" s="1"/>
    </row>
    <row r="10" spans="1:30" x14ac:dyDescent="0.25">
      <c r="A10" s="14"/>
      <c r="B10" s="15" t="s">
        <v>12</v>
      </c>
      <c r="C10" s="14">
        <v>30</v>
      </c>
      <c r="D10" s="14">
        <f>C10*6.6/100</f>
        <v>1.98</v>
      </c>
      <c r="E10" s="14">
        <f>C10*1.1/100</f>
        <v>0.33</v>
      </c>
      <c r="F10" s="14">
        <f>C10*43.9/100</f>
        <v>13.17</v>
      </c>
      <c r="G10" s="14">
        <f t="shared" si="0"/>
        <v>63.57</v>
      </c>
      <c r="H10" s="3"/>
      <c r="I10" s="2"/>
      <c r="J10" s="1"/>
    </row>
    <row r="11" spans="1:30" x14ac:dyDescent="0.25">
      <c r="A11" s="60" t="s">
        <v>23</v>
      </c>
      <c r="B11" s="61" t="s">
        <v>13</v>
      </c>
      <c r="C11" s="108">
        <v>200</v>
      </c>
      <c r="D11" s="109">
        <f>0.6/200*C11</f>
        <v>0.6</v>
      </c>
      <c r="E11" s="110">
        <f>0/200*C11</f>
        <v>0</v>
      </c>
      <c r="F11" s="109">
        <f>31.4/200*C11</f>
        <v>31.4</v>
      </c>
      <c r="G11" s="110">
        <f>128/200*C11</f>
        <v>128</v>
      </c>
      <c r="H11" s="3"/>
      <c r="I11" s="2"/>
      <c r="J11" s="1"/>
    </row>
    <row r="12" spans="1:30" x14ac:dyDescent="0.25">
      <c r="A12" s="141" t="s">
        <v>14</v>
      </c>
      <c r="B12" s="142"/>
      <c r="C12" s="75">
        <f>SUM(C6:C11)</f>
        <v>720</v>
      </c>
      <c r="D12" s="19">
        <f t="shared" ref="D12:G12" si="1">SUM(D6:D11)</f>
        <v>24.80898550724638</v>
      </c>
      <c r="E12" s="19">
        <f t="shared" si="1"/>
        <v>28.622463768115942</v>
      </c>
      <c r="F12" s="19">
        <f t="shared" si="1"/>
        <v>117.85695652173914</v>
      </c>
      <c r="G12" s="19">
        <f t="shared" si="1"/>
        <v>822.78304347826088</v>
      </c>
      <c r="H12" s="3"/>
      <c r="I12" s="2"/>
      <c r="J12" s="1"/>
    </row>
    <row r="13" spans="1:30" x14ac:dyDescent="0.25">
      <c r="A13" s="139"/>
      <c r="B13" s="140"/>
      <c r="C13" s="140"/>
      <c r="D13" s="140"/>
      <c r="E13" s="140"/>
      <c r="F13" s="140"/>
      <c r="G13" s="140"/>
      <c r="H13" s="3"/>
      <c r="I13" s="2"/>
      <c r="J13" s="1"/>
    </row>
  </sheetData>
  <mergeCells count="11">
    <mergeCell ref="A5:G5"/>
    <mergeCell ref="A12:B12"/>
    <mergeCell ref="A13:G13"/>
    <mergeCell ref="G3:G4"/>
    <mergeCell ref="A1:C1"/>
    <mergeCell ref="D1:G1"/>
    <mergeCell ref="D2:G2"/>
    <mergeCell ref="A3:A4"/>
    <mergeCell ref="B3:B4"/>
    <mergeCell ref="C3:C4"/>
    <mergeCell ref="D3:F3"/>
  </mergeCells>
  <pageMargins left="0.7" right="0.7" top="0.75" bottom="0.75" header="0.3" footer="0.3"/>
  <pageSetup paperSize="9" scale="92" orientation="landscape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view="pageBreakPreview" zoomScale="112" zoomScaleSheetLayoutView="112" workbookViewId="0">
      <selection activeCell="G11" sqref="G11"/>
    </sheetView>
  </sheetViews>
  <sheetFormatPr defaultRowHeight="15" x14ac:dyDescent="0.25"/>
  <cols>
    <col min="1" max="2" width="9.28515625" bestFit="1" customWidth="1"/>
    <col min="3" max="3" width="11" customWidth="1"/>
    <col min="4" max="4" width="11.85546875" customWidth="1"/>
  </cols>
  <sheetData>
    <row r="1" spans="1:4" s="46" customFormat="1" ht="40.5" customHeight="1" x14ac:dyDescent="0.25">
      <c r="A1" s="160" t="s">
        <v>49</v>
      </c>
      <c r="B1" s="160"/>
      <c r="C1" s="160"/>
      <c r="D1" s="160"/>
    </row>
    <row r="2" spans="1:4" ht="15.75" x14ac:dyDescent="0.25">
      <c r="A2" s="171" t="s">
        <v>6</v>
      </c>
      <c r="B2" s="171"/>
      <c r="C2" s="171"/>
      <c r="D2" s="172" t="s">
        <v>48</v>
      </c>
    </row>
    <row r="3" spans="1:4" ht="15.75" x14ac:dyDescent="0.25">
      <c r="A3" s="65" t="s">
        <v>3</v>
      </c>
      <c r="B3" s="65" t="s">
        <v>4</v>
      </c>
      <c r="C3" s="65" t="s">
        <v>5</v>
      </c>
      <c r="D3" s="172"/>
    </row>
    <row r="4" spans="1:4" ht="15.75" x14ac:dyDescent="0.25">
      <c r="A4" s="66">
        <f>('День 1'!D11+'День 2'!D13+'День 3'!D12+'День 4'!D12+'День 5'!D12+'День 6'!D12+'День 7'!D13+'День 8'!D11+'День 9'!D12+'День 10'!D13+'День 11'!D12+'День 12'!D12)/12</f>
        <v>26.699163949275363</v>
      </c>
      <c r="B4" s="66">
        <f>('День 1'!E11+'День 2'!E13+'День 3'!E12+'День 4'!E12+'День 5'!E12+'День 6'!E12+'День 7'!E13+'День 8'!E11+'День 9'!E12+'День 10'!E13+'День 11'!E12+'День 12'!E12)/12</f>
        <v>27.241802777777778</v>
      </c>
      <c r="C4" s="66">
        <f>('День 1'!F11+'День 2'!F13+'День 3'!F12+'День 4'!F12+'День 5'!F12+'День 6'!F12+'День 7'!F13+'День 8'!F11+'День 9'!F12+'День 10'!F13+'День 11'!F12+'День 12'!F12)/12</f>
        <v>116.83027922705315</v>
      </c>
      <c r="D4" s="66">
        <f>('День 1'!G11+'День 2'!G13+'День 3'!G12+'День 4'!G12+'День 5'!G12+'День 6'!G12+'День 7'!G13+'День 8'!G11+'День 9'!G12+'День 10'!G13+'День 11'!G12+'День 12'!G12)/12</f>
        <v>820.88537279357115</v>
      </c>
    </row>
    <row r="5" spans="1:4" ht="15.75" x14ac:dyDescent="0.25">
      <c r="A5" s="66">
        <f>A4/B4</f>
        <v>0.98008065644814568</v>
      </c>
      <c r="B5" s="66">
        <f>B4/A4</f>
        <v>1.020324188035751</v>
      </c>
      <c r="C5" s="67">
        <v>3.9</v>
      </c>
      <c r="D5" s="67"/>
    </row>
  </sheetData>
  <mergeCells count="3">
    <mergeCell ref="A2:C2"/>
    <mergeCell ref="D2:D3"/>
    <mergeCell ref="A1:D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11</vt:i4>
      </vt:variant>
    </vt:vector>
  </HeadingPairs>
  <TitlesOfParts>
    <vt:vector size="24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Лист1</vt:lpstr>
      <vt:lpstr>'День 1'!Область_печати</vt:lpstr>
      <vt:lpstr>'День 10'!Область_печати</vt:lpstr>
      <vt:lpstr>'День 11'!Область_печати</vt:lpstr>
      <vt:lpstr>'День 12'!Область_печати</vt:lpstr>
      <vt:lpstr>'День 2'!Область_печати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2023-09-12T06:39:14Z</dcterms:modified>
</cp:coreProperties>
</file>