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825" windowWidth="15120" windowHeight="7290" tabRatio="696" activeTab="9"/>
  </bookViews>
  <sheets>
    <sheet name="День 1" sheetId="2" r:id="rId1"/>
    <sheet name="День 2" sheetId="4" r:id="rId2"/>
    <sheet name="День 3" sheetId="5" r:id="rId3"/>
    <sheet name="День 4" sheetId="6" r:id="rId4"/>
    <sheet name="День 5" sheetId="8" r:id="rId5"/>
    <sheet name="День 6" sheetId="9" r:id="rId6"/>
    <sheet name="День 7" sheetId="10" r:id="rId7"/>
    <sheet name="День 8" sheetId="11" r:id="rId8"/>
    <sheet name="День 9" sheetId="12" r:id="rId9"/>
    <sheet name="День 10" sheetId="13" r:id="rId10"/>
    <sheet name="День 11" sheetId="14" r:id="rId11"/>
    <sheet name="День 12" sheetId="15" r:id="rId12"/>
    <sheet name="Лист1" sheetId="16" r:id="rId13"/>
  </sheets>
  <definedNames>
    <definedName name="_xlnm.Print_Area" localSheetId="0">'День 1'!$A$1:$G$14</definedName>
    <definedName name="_xlnm.Print_Area" localSheetId="9">'День 10'!$A$1:$H$13</definedName>
    <definedName name="_xlnm.Print_Area" localSheetId="10">'День 11'!$A$1:$J$13</definedName>
    <definedName name="_xlnm.Print_Area" localSheetId="11">'День 12'!$A$1:$I$10</definedName>
    <definedName name="_xlnm.Print_Area" localSheetId="1">'День 2'!$A$1:$H$13</definedName>
    <definedName name="_xlnm.Print_Area" localSheetId="3">'День 4'!$A$1:$H$17</definedName>
    <definedName name="_xlnm.Print_Area" localSheetId="4">'День 5'!$A$1:$G$18</definedName>
    <definedName name="_xlnm.Print_Area" localSheetId="5">'День 6'!$A$1:$J$13</definedName>
    <definedName name="_xlnm.Print_Area" localSheetId="6">'День 7'!$A$1:$H$18</definedName>
    <definedName name="_xlnm.Print_Area" localSheetId="7">'День 8'!$A$1:$H$8</definedName>
    <definedName name="_xlnm.Print_Area" localSheetId="8">'День 9'!$A$1:$H$16</definedName>
  </definedNames>
  <calcPr calcId="145621"/>
</workbook>
</file>

<file path=xl/calcChain.xml><?xml version="1.0" encoding="utf-8"?>
<calcChain xmlns="http://schemas.openxmlformats.org/spreadsheetml/2006/main">
  <c r="G9" i="10" l="1"/>
  <c r="G3" i="9"/>
  <c r="G8" i="6"/>
  <c r="F8" i="6"/>
  <c r="E8" i="6"/>
  <c r="D8" i="6"/>
  <c r="G7" i="6"/>
  <c r="F7" i="6"/>
  <c r="E7" i="6"/>
  <c r="D7" i="6"/>
  <c r="G5" i="4"/>
  <c r="G4" i="15"/>
  <c r="G6" i="11"/>
  <c r="F6" i="11"/>
  <c r="E6" i="11"/>
  <c r="D6" i="11"/>
  <c r="F5" i="11"/>
  <c r="E5" i="11"/>
  <c r="D5" i="11"/>
  <c r="G4" i="11"/>
  <c r="F4" i="11"/>
  <c r="E4" i="11"/>
  <c r="D4" i="11"/>
  <c r="G3" i="11"/>
  <c r="F3" i="11"/>
  <c r="E3" i="11"/>
  <c r="D3" i="11"/>
  <c r="G2" i="11"/>
  <c r="F2" i="11"/>
  <c r="E2" i="11"/>
  <c r="D2" i="11"/>
  <c r="G10" i="2"/>
  <c r="F10" i="2"/>
  <c r="E10" i="2"/>
  <c r="D10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11" l="1"/>
  <c r="G9" i="2"/>
  <c r="F2" i="13" l="1"/>
  <c r="E2" i="13"/>
  <c r="D2" i="13"/>
  <c r="G7" i="10" l="1"/>
  <c r="F7" i="10"/>
  <c r="E7" i="10"/>
  <c r="D7" i="10"/>
  <c r="E3" i="4" l="1"/>
  <c r="G4" i="9" l="1"/>
  <c r="D4" i="9"/>
  <c r="D8" i="10" l="1"/>
  <c r="D4" i="4"/>
  <c r="E4" i="4"/>
  <c r="G3" i="4"/>
  <c r="F3" i="4"/>
  <c r="D3" i="4"/>
  <c r="D2" i="5"/>
  <c r="G2" i="15" l="1"/>
  <c r="F4" i="15"/>
  <c r="E4" i="15"/>
  <c r="D4" i="15"/>
  <c r="D2" i="15"/>
  <c r="F2" i="15"/>
  <c r="E2" i="15"/>
  <c r="G3" i="15"/>
  <c r="F3" i="15"/>
  <c r="E3" i="15"/>
  <c r="D3" i="15"/>
  <c r="G4" i="5"/>
  <c r="E5" i="14" l="1"/>
  <c r="F2" i="14"/>
  <c r="D2" i="14"/>
  <c r="E2" i="14"/>
  <c r="G7" i="14"/>
  <c r="F7" i="14"/>
  <c r="E7" i="14"/>
  <c r="D7" i="14"/>
  <c r="F4" i="14"/>
  <c r="E4" i="14"/>
  <c r="D4" i="14"/>
  <c r="D5" i="14"/>
  <c r="F5" i="14"/>
  <c r="G5" i="14"/>
  <c r="D6" i="14"/>
  <c r="E6" i="14"/>
  <c r="F6" i="14"/>
  <c r="C8" i="14"/>
  <c r="F3" i="14"/>
  <c r="E3" i="14"/>
  <c r="D3" i="14"/>
  <c r="G4" i="13"/>
  <c r="F3" i="13"/>
  <c r="G3" i="13"/>
  <c r="F4" i="13"/>
  <c r="E4" i="13"/>
  <c r="D4" i="13"/>
  <c r="G3" i="14" l="1"/>
  <c r="E8" i="14"/>
  <c r="G6" i="14"/>
  <c r="F8" i="14"/>
  <c r="D8" i="14"/>
  <c r="G8" i="14" l="1"/>
  <c r="G8" i="12"/>
  <c r="F8" i="12"/>
  <c r="G7" i="12"/>
  <c r="F7" i="12"/>
  <c r="E7" i="12"/>
  <c r="D7" i="12"/>
  <c r="C7" i="11"/>
  <c r="E9" i="10"/>
  <c r="F9" i="10"/>
  <c r="D9" i="10"/>
  <c r="G8" i="10"/>
  <c r="F8" i="10"/>
  <c r="F10" i="10"/>
  <c r="E10" i="10"/>
  <c r="D10" i="10"/>
  <c r="F7" i="11" l="1"/>
  <c r="D7" i="11"/>
  <c r="E7" i="11"/>
  <c r="G10" i="10"/>
  <c r="G7" i="11" l="1"/>
  <c r="G5" i="9" l="1"/>
  <c r="F7" i="9"/>
  <c r="F2" i="9"/>
  <c r="F5" i="9"/>
  <c r="F3" i="9"/>
  <c r="D3" i="9"/>
  <c r="F7" i="8" l="1"/>
  <c r="E7" i="8"/>
  <c r="D7" i="8"/>
  <c r="E3" i="9"/>
  <c r="E5" i="9"/>
  <c r="D5" i="9"/>
  <c r="D8" i="8"/>
  <c r="G9" i="8"/>
  <c r="F9" i="8"/>
  <c r="E9" i="8"/>
  <c r="D9" i="8"/>
  <c r="G8" i="8"/>
  <c r="F8" i="8"/>
  <c r="E8" i="8"/>
  <c r="C13" i="8"/>
  <c r="G6" i="8"/>
  <c r="F6" i="8"/>
  <c r="E6" i="8"/>
  <c r="D6" i="8"/>
  <c r="F6" i="6"/>
  <c r="E6" i="6"/>
  <c r="D6" i="6"/>
  <c r="F4" i="5"/>
  <c r="E4" i="5"/>
  <c r="D4" i="5"/>
  <c r="F5" i="4"/>
  <c r="E5" i="4"/>
  <c r="D5" i="4"/>
  <c r="D2" i="4"/>
  <c r="G4" i="4"/>
  <c r="F4" i="4"/>
  <c r="G6" i="6" l="1"/>
  <c r="G7" i="15" l="1"/>
  <c r="F7" i="15"/>
  <c r="E7" i="15"/>
  <c r="D7" i="15"/>
  <c r="E3" i="13"/>
  <c r="D3" i="13"/>
  <c r="G12" i="12"/>
  <c r="F12" i="12"/>
  <c r="E12" i="12"/>
  <c r="D12" i="12"/>
  <c r="E8" i="12"/>
  <c r="D8" i="12"/>
  <c r="G12" i="10"/>
  <c r="F12" i="10"/>
  <c r="E12" i="10"/>
  <c r="D12" i="10"/>
  <c r="G7" i="9"/>
  <c r="E7" i="9"/>
  <c r="D7" i="9"/>
  <c r="G2" i="9"/>
  <c r="E2" i="9"/>
  <c r="D2" i="9"/>
  <c r="F12" i="8"/>
  <c r="E12" i="8"/>
  <c r="D12" i="8"/>
  <c r="G11" i="6"/>
  <c r="F11" i="6"/>
  <c r="E11" i="6"/>
  <c r="D11" i="6"/>
  <c r="F8" i="4"/>
  <c r="E8" i="4"/>
  <c r="D8" i="4"/>
  <c r="G12" i="8" l="1"/>
  <c r="C12" i="6" l="1"/>
  <c r="F10" i="8"/>
  <c r="E10" i="8"/>
  <c r="D10" i="8"/>
  <c r="G10" i="8" l="1"/>
  <c r="G2" i="5" l="1"/>
  <c r="F2" i="5"/>
  <c r="E2" i="5"/>
  <c r="C8" i="15"/>
  <c r="F4" i="9"/>
  <c r="E4" i="9"/>
  <c r="E8" i="10"/>
  <c r="C11" i="2" l="1"/>
  <c r="C9" i="13"/>
  <c r="C13" i="12"/>
  <c r="C13" i="10" l="1"/>
  <c r="C8" i="9"/>
  <c r="F7" i="4"/>
  <c r="E7" i="4"/>
  <c r="D7" i="4"/>
  <c r="F6" i="4"/>
  <c r="E6" i="4"/>
  <c r="D6" i="4"/>
  <c r="D6" i="15"/>
  <c r="E6" i="15"/>
  <c r="F6" i="15"/>
  <c r="F5" i="15"/>
  <c r="E5" i="15"/>
  <c r="D5" i="15"/>
  <c r="C8" i="5"/>
  <c r="C9" i="4"/>
  <c r="D9" i="4" l="1"/>
  <c r="G7" i="4"/>
  <c r="G6" i="4"/>
  <c r="G5" i="15"/>
  <c r="F8" i="15"/>
  <c r="D8" i="15"/>
  <c r="G6" i="15"/>
  <c r="E8" i="15"/>
  <c r="G8" i="15" l="1"/>
  <c r="F11" i="8"/>
  <c r="F13" i="8" s="1"/>
  <c r="E11" i="8"/>
  <c r="E13" i="8" s="1"/>
  <c r="D11" i="8"/>
  <c r="D13" i="8" s="1"/>
  <c r="F6" i="9"/>
  <c r="E6" i="9"/>
  <c r="D6" i="9"/>
  <c r="F5" i="13"/>
  <c r="E5" i="13"/>
  <c r="D5" i="13"/>
  <c r="F10" i="6"/>
  <c r="E10" i="6"/>
  <c r="D10" i="6"/>
  <c r="F9" i="6"/>
  <c r="E9" i="6"/>
  <c r="D9" i="6"/>
  <c r="F6" i="5"/>
  <c r="E6" i="5"/>
  <c r="D6" i="5"/>
  <c r="F5" i="5"/>
  <c r="E5" i="5"/>
  <c r="D5" i="5"/>
  <c r="F7" i="13"/>
  <c r="E7" i="13"/>
  <c r="D7" i="13"/>
  <c r="F6" i="13"/>
  <c r="E6" i="13"/>
  <c r="D6" i="13"/>
  <c r="F11" i="12"/>
  <c r="E11" i="12"/>
  <c r="D11" i="12"/>
  <c r="F10" i="12"/>
  <c r="E10" i="12"/>
  <c r="D10" i="12"/>
  <c r="F11" i="10"/>
  <c r="E11" i="10"/>
  <c r="D11" i="10"/>
  <c r="F2" i="4"/>
  <c r="E2" i="4"/>
  <c r="G8" i="4"/>
  <c r="D8" i="5" l="1"/>
  <c r="F8" i="5"/>
  <c r="E12" i="6"/>
  <c r="E9" i="13"/>
  <c r="D12" i="6"/>
  <c r="D11" i="2"/>
  <c r="A4" i="16" s="1"/>
  <c r="F12" i="6"/>
  <c r="E13" i="12"/>
  <c r="F13" i="12"/>
  <c r="D13" i="12"/>
  <c r="E8" i="5"/>
  <c r="E13" i="10"/>
  <c r="G2" i="4"/>
  <c r="G9" i="4" s="1"/>
  <c r="G11" i="8"/>
  <c r="G13" i="8" s="1"/>
  <c r="G9" i="6"/>
  <c r="G10" i="6"/>
  <c r="G11" i="10"/>
  <c r="D8" i="9"/>
  <c r="F8" i="9"/>
  <c r="G5" i="13"/>
  <c r="E8" i="9"/>
  <c r="G6" i="9"/>
  <c r="G6" i="5"/>
  <c r="G5" i="5"/>
  <c r="E11" i="2"/>
  <c r="E9" i="4"/>
  <c r="F11" i="2"/>
  <c r="G6" i="13"/>
  <c r="G7" i="13"/>
  <c r="D9" i="13"/>
  <c r="G10" i="12"/>
  <c r="G11" i="12"/>
  <c r="F9" i="13"/>
  <c r="D13" i="10"/>
  <c r="F13" i="10"/>
  <c r="F9" i="4"/>
  <c r="C4" i="16" l="1"/>
  <c r="B4" i="16"/>
  <c r="G9" i="13"/>
  <c r="G12" i="6"/>
  <c r="G11" i="2"/>
  <c r="G13" i="12"/>
  <c r="G8" i="5"/>
  <c r="G13" i="10"/>
  <c r="G8" i="9"/>
  <c r="D4" i="16" l="1"/>
  <c r="B5" i="16"/>
  <c r="A5" i="16"/>
</calcChain>
</file>

<file path=xl/sharedStrings.xml><?xml version="1.0" encoding="utf-8"?>
<sst xmlns="http://schemas.openxmlformats.org/spreadsheetml/2006/main" count="207" uniqueCount="73">
  <si>
    <t>№ рец.</t>
  </si>
  <si>
    <t>Наименование блюда</t>
  </si>
  <si>
    <t>Масса порции</t>
  </si>
  <si>
    <t>Белки</t>
  </si>
  <si>
    <t>Жиры</t>
  </si>
  <si>
    <t>Углеводы</t>
  </si>
  <si>
    <t>Пищевые вещества (г)</t>
  </si>
  <si>
    <t>Хлеб пшеничный</t>
  </si>
  <si>
    <t>ОБЕД</t>
  </si>
  <si>
    <t>39/2008г</t>
  </si>
  <si>
    <t>Картофельное пюре</t>
  </si>
  <si>
    <t>92/2008г</t>
  </si>
  <si>
    <t>Хлеб ржано-пшеничный</t>
  </si>
  <si>
    <t>Компот из сухофруктов</t>
  </si>
  <si>
    <t>ИТОГО ЗА ОБЕД:</t>
  </si>
  <si>
    <t>Огурцы свежие порционно</t>
  </si>
  <si>
    <t>Суп картофельный с бобовыми</t>
  </si>
  <si>
    <t>47/2008г</t>
  </si>
  <si>
    <t>Соус томатный</t>
  </si>
  <si>
    <t>Чай с лимоном</t>
  </si>
  <si>
    <t>146/2008г</t>
  </si>
  <si>
    <t>Какао с молоком</t>
  </si>
  <si>
    <t>149/2008г</t>
  </si>
  <si>
    <t>153/2008г</t>
  </si>
  <si>
    <t>60/2013г</t>
  </si>
  <si>
    <t>Щи из свежей капусты с картофелем</t>
  </si>
  <si>
    <t>41/2008г</t>
  </si>
  <si>
    <t>Макаронные изделия отварные</t>
  </si>
  <si>
    <t>97/2008г</t>
  </si>
  <si>
    <t>141/2008г</t>
  </si>
  <si>
    <t>Шницель из говядины</t>
  </si>
  <si>
    <t>Зразы из говядины с яйцом</t>
  </si>
  <si>
    <t>Винегрет</t>
  </si>
  <si>
    <t>30/2008г</t>
  </si>
  <si>
    <t>Напиток из подов шиповника</t>
  </si>
  <si>
    <t>267/2013г</t>
  </si>
  <si>
    <t>День: понедельник.</t>
  </si>
  <si>
    <t>День: среда.</t>
  </si>
  <si>
    <t>День: четверг.</t>
  </si>
  <si>
    <t>День: пятница.</t>
  </si>
  <si>
    <t xml:space="preserve">104/2017 </t>
  </si>
  <si>
    <t>Суп с мясными фрикадельками</t>
  </si>
  <si>
    <t>39/2017</t>
  </si>
  <si>
    <t>Жаркое по домашнему из говядины</t>
  </si>
  <si>
    <t>Йогурт</t>
  </si>
  <si>
    <t>Салат картофельный с кукурузой , морковью и огурцами</t>
  </si>
  <si>
    <t>Энергет. Ценность</t>
  </si>
  <si>
    <t>Среднее соотношение за 12 дней</t>
  </si>
  <si>
    <t>Сок  фруктовый</t>
  </si>
  <si>
    <t>342/2017</t>
  </si>
  <si>
    <t>Компот из свежих яблок</t>
  </si>
  <si>
    <t>ттк</t>
  </si>
  <si>
    <t>Гуляш из мяса кур</t>
  </si>
  <si>
    <t>ПП</t>
  </si>
  <si>
    <t>54-6з-2020</t>
  </si>
  <si>
    <t>Плов из говядины</t>
  </si>
  <si>
    <t>Каша пшенная без молока</t>
  </si>
  <si>
    <t>Котлета,рубленная из мяса кур</t>
  </si>
  <si>
    <t>Салат из белокочанной капусты с помидорами и огурцами</t>
  </si>
  <si>
    <t xml:space="preserve">Рассольник ленинградский </t>
  </si>
  <si>
    <t>Борщ с капустой и картофелем с мясом со сметаной</t>
  </si>
  <si>
    <t>Гуляш</t>
  </si>
  <si>
    <t>Пицца детская</t>
  </si>
  <si>
    <t>Рыба по польски</t>
  </si>
  <si>
    <t xml:space="preserve">Каша рисовая  вязкая </t>
  </si>
  <si>
    <t xml:space="preserve">Суп "Снежок"с мясом птицы </t>
  </si>
  <si>
    <t xml:space="preserve">Суп картофельный с клёцками </t>
  </si>
  <si>
    <t xml:space="preserve">Суп картофельный с макаронными изделиями </t>
  </si>
  <si>
    <t>Пряники</t>
  </si>
  <si>
    <t>Возрастная категория: 11-18 лет</t>
  </si>
  <si>
    <t>клёцки мучные</t>
  </si>
  <si>
    <t>Ватрушка с творогом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</si>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</sst>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8000"/>
      <name val="Arial Cy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49" fontId="14" fillId="0" borderId="1">
      <alignment vertical="top" wrapText="1"/>
    </xf>
    <xf numFmtId="49" fontId="14" fillId="0" borderId="1">
      <alignment vertical="top"/>
    </xf>
    <xf numFmtId="4" fontId="15" fillId="0" borderId="1">
      <alignment vertical="top" shrinkToFit="1"/>
    </xf>
  </cellStyleXfs>
  <cellXfs count="17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0" xfId="0" applyFont="1"/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1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2" fontId="9" fillId="0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2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2" fontId="6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</cellXfs>
  <cellStyles count="5">
    <cellStyle name="st16" xfId="2"/>
    <cellStyle name="st19" xfId="4"/>
    <cellStyle name="xl26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Normal="110" zoomScaleSheetLayoutView="100" workbookViewId="0">
      <selection activeCell="F18" sqref="F18"/>
    </sheetView>
  </sheetViews>
  <sheetFormatPr defaultRowHeight="15" x14ac:dyDescent="0.25"/>
  <cols>
    <col min="1" max="1" width="13.7109375" customWidth="1"/>
    <col min="2" max="2" width="34.28515625" customWidth="1"/>
    <col min="3" max="3" width="7" customWidth="1"/>
    <col min="4" max="4" width="7.7109375" customWidth="1"/>
    <col min="5" max="5" width="7" customWidth="1"/>
    <col min="7" max="7" width="8.28515625" customWidth="1"/>
  </cols>
  <sheetData>
    <row r="1" spans="1:10" ht="18" customHeight="1" x14ac:dyDescent="0.25">
      <c r="A1" s="146"/>
      <c r="B1" s="146"/>
      <c r="C1" s="146"/>
      <c r="D1" s="147"/>
      <c r="E1" s="147"/>
      <c r="F1" s="147"/>
      <c r="G1" s="147"/>
      <c r="H1" s="2"/>
      <c r="I1" s="2"/>
      <c r="J1" s="1"/>
    </row>
    <row r="2" spans="1:10" ht="15.75" x14ac:dyDescent="0.25">
      <c r="A2" s="140" t="s">
        <v>69</v>
      </c>
      <c r="B2" s="67"/>
      <c r="C2" s="68"/>
      <c r="D2" s="148" t="s">
        <v>36</v>
      </c>
      <c r="E2" s="148"/>
      <c r="F2" s="148"/>
      <c r="G2" s="148"/>
      <c r="H2" s="7"/>
      <c r="I2" s="2"/>
      <c r="J2" s="1"/>
    </row>
    <row r="3" spans="1:10" ht="15" customHeight="1" x14ac:dyDescent="0.25">
      <c r="A3" s="149" t="s">
        <v>0</v>
      </c>
      <c r="B3" s="149" t="s">
        <v>1</v>
      </c>
      <c r="C3" s="151" t="s">
        <v>2</v>
      </c>
      <c r="D3" s="153" t="s">
        <v>6</v>
      </c>
      <c r="E3" s="154"/>
      <c r="F3" s="155"/>
      <c r="G3" s="151" t="s">
        <v>46</v>
      </c>
      <c r="H3" s="2"/>
      <c r="I3" s="2"/>
      <c r="J3" s="1"/>
    </row>
    <row r="4" spans="1:10" ht="24.75" customHeight="1" x14ac:dyDescent="0.25">
      <c r="A4" s="150"/>
      <c r="B4" s="150"/>
      <c r="C4" s="152"/>
      <c r="D4" s="13" t="s">
        <v>3</v>
      </c>
      <c r="E4" s="13" t="s">
        <v>4</v>
      </c>
      <c r="F4" s="13" t="s">
        <v>5</v>
      </c>
      <c r="G4" s="152"/>
      <c r="H4" s="3"/>
      <c r="I4" s="2"/>
      <c r="J4" s="1"/>
    </row>
    <row r="5" spans="1:10" x14ac:dyDescent="0.25">
      <c r="A5" s="143" t="s">
        <v>8</v>
      </c>
      <c r="B5" s="145"/>
      <c r="C5" s="145"/>
      <c r="D5" s="145"/>
      <c r="E5" s="145"/>
      <c r="F5" s="145"/>
      <c r="G5" s="145"/>
      <c r="H5" s="3"/>
      <c r="I5" s="2"/>
      <c r="J5" s="1"/>
    </row>
    <row r="6" spans="1:10" ht="25.5" x14ac:dyDescent="0.25">
      <c r="A6" s="106" t="s">
        <v>9</v>
      </c>
      <c r="B6" s="104" t="s">
        <v>60</v>
      </c>
      <c r="C6" s="106">
        <v>250</v>
      </c>
      <c r="D6" s="105">
        <f>6.52/250*C6</f>
        <v>6.52</v>
      </c>
      <c r="E6" s="105">
        <f>10.4/250*C6</f>
        <v>10.4</v>
      </c>
      <c r="F6" s="105">
        <f>13.9/250*C6</f>
        <v>13.9</v>
      </c>
      <c r="G6" s="105">
        <f>218.88/250*C6</f>
        <v>218.88</v>
      </c>
      <c r="H6" s="3"/>
      <c r="I6" s="2"/>
      <c r="J6" s="1"/>
    </row>
    <row r="7" spans="1:10" x14ac:dyDescent="0.25">
      <c r="A7" s="121" t="s">
        <v>51</v>
      </c>
      <c r="B7" s="122" t="s">
        <v>71</v>
      </c>
      <c r="C7" s="121">
        <v>100</v>
      </c>
      <c r="D7" s="123">
        <f>5.98/100*C7</f>
        <v>5.98</v>
      </c>
      <c r="E7" s="123">
        <f>8.97/100*C7</f>
        <v>8.9700000000000006</v>
      </c>
      <c r="F7" s="123">
        <f>21.3/100*C7</f>
        <v>21.3</v>
      </c>
      <c r="G7" s="123">
        <f>173.4/100*C7</f>
        <v>173.4</v>
      </c>
    </row>
    <row r="8" spans="1:10" ht="18.75" customHeight="1" x14ac:dyDescent="0.25">
      <c r="A8" s="59" t="s">
        <v>51</v>
      </c>
      <c r="B8" s="117" t="s">
        <v>72</v>
      </c>
      <c r="C8" s="118">
        <v>210</v>
      </c>
      <c r="D8" s="119">
        <f>8.96/150*C8</f>
        <v>12.544</v>
      </c>
      <c r="E8" s="119">
        <f>7.2/150*C8</f>
        <v>10.08</v>
      </c>
      <c r="F8" s="119">
        <f>28.99/150*C8</f>
        <v>40.585999999999999</v>
      </c>
      <c r="G8" s="119">
        <f>206.4/150*C8</f>
        <v>288.96000000000004</v>
      </c>
      <c r="H8" s="3"/>
      <c r="I8" s="2"/>
      <c r="J8" s="1"/>
    </row>
    <row r="9" spans="1:10" x14ac:dyDescent="0.25">
      <c r="A9" s="22"/>
      <c r="B9" s="15" t="s">
        <v>7</v>
      </c>
      <c r="C9" s="14">
        <v>60</v>
      </c>
      <c r="D9" s="37">
        <f>C9*7.7/100</f>
        <v>4.62</v>
      </c>
      <c r="E9" s="37">
        <f>C9*0.8/100</f>
        <v>0.48</v>
      </c>
      <c r="F9" s="37">
        <f>C9*49.5/100</f>
        <v>29.7</v>
      </c>
      <c r="G9" s="37">
        <f t="shared" ref="G9" si="0">F9*4+E9*9+D9*4</f>
        <v>141.6</v>
      </c>
      <c r="H9" s="3"/>
      <c r="I9" s="2"/>
      <c r="J9" s="1"/>
    </row>
    <row r="10" spans="1:10" x14ac:dyDescent="0.25">
      <c r="A10" s="14" t="s">
        <v>23</v>
      </c>
      <c r="B10" s="15" t="s">
        <v>13</v>
      </c>
      <c r="C10" s="14">
        <v>200</v>
      </c>
      <c r="D10" s="14">
        <f>0.6/200*C10</f>
        <v>0.6</v>
      </c>
      <c r="E10" s="16">
        <f>0/200*C10</f>
        <v>0</v>
      </c>
      <c r="F10" s="14">
        <f>31.4/200*C10</f>
        <v>31.4</v>
      </c>
      <c r="G10" s="16">
        <f>128/200*C10</f>
        <v>128</v>
      </c>
      <c r="H10" s="3"/>
      <c r="I10" s="2"/>
      <c r="J10" s="1"/>
    </row>
    <row r="11" spans="1:10" x14ac:dyDescent="0.25">
      <c r="A11" s="143" t="s">
        <v>14</v>
      </c>
      <c r="B11" s="144"/>
      <c r="C11" s="73">
        <f>SUM(C6:C10)</f>
        <v>820</v>
      </c>
      <c r="D11" s="19">
        <f>SUM(D6:D10)</f>
        <v>30.264000000000003</v>
      </c>
      <c r="E11" s="19">
        <f>SUM(E6:E10)</f>
        <v>29.930000000000003</v>
      </c>
      <c r="F11" s="19">
        <f>SUM(F6:F10)</f>
        <v>136.886</v>
      </c>
      <c r="G11" s="19">
        <f>SUM(G6:G10)</f>
        <v>950.84</v>
      </c>
      <c r="H11" s="3"/>
      <c r="I11" s="2"/>
      <c r="J11" s="1"/>
    </row>
    <row r="12" spans="1:10" x14ac:dyDescent="0.25">
      <c r="A12" s="141"/>
      <c r="B12" s="142"/>
      <c r="C12" s="142"/>
      <c r="D12" s="142"/>
      <c r="E12" s="142"/>
      <c r="F12" s="142"/>
      <c r="G12" s="142"/>
      <c r="H12" s="3"/>
      <c r="I12" s="2"/>
      <c r="J12" s="1"/>
    </row>
  </sheetData>
  <mergeCells count="11">
    <mergeCell ref="A12:G12"/>
    <mergeCell ref="A11:B11"/>
    <mergeCell ref="A5:G5"/>
    <mergeCell ref="A1:C1"/>
    <mergeCell ref="D1:G1"/>
    <mergeCell ref="D2:G2"/>
    <mergeCell ref="A3:A4"/>
    <mergeCell ref="B3:B4"/>
    <mergeCell ref="C3:C4"/>
    <mergeCell ref="D3:F3"/>
    <mergeCell ref="G3:G4"/>
  </mergeCells>
  <pageMargins left="0.5118110236220472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Normal="110" zoomScaleSheetLayoutView="100" workbookViewId="0">
      <selection activeCell="D9" sqref="D9"/>
    </sheetView>
  </sheetViews>
  <sheetFormatPr defaultRowHeight="15" x14ac:dyDescent="0.25"/>
  <cols>
    <col min="1" max="1" width="9.85546875" customWidth="1"/>
    <col min="2" max="2" width="27.85546875" customWidth="1"/>
    <col min="3" max="3" width="8" customWidth="1"/>
    <col min="4" max="4" width="7.7109375" customWidth="1"/>
    <col min="5" max="5" width="7" customWidth="1"/>
    <col min="7" max="7" width="8.85546875" customWidth="1"/>
  </cols>
  <sheetData>
    <row r="1" spans="1:11" x14ac:dyDescent="0.25">
      <c r="A1" s="143" t="s">
        <v>8</v>
      </c>
      <c r="B1" s="145"/>
      <c r="C1" s="145"/>
      <c r="D1" s="145"/>
      <c r="E1" s="145"/>
      <c r="F1" s="145"/>
      <c r="G1" s="145"/>
      <c r="H1" s="3"/>
      <c r="I1" s="3"/>
      <c r="J1" s="2"/>
      <c r="K1" s="1"/>
    </row>
    <row r="2" spans="1:11" x14ac:dyDescent="0.25">
      <c r="A2" s="14"/>
      <c r="B2" s="15" t="s">
        <v>15</v>
      </c>
      <c r="C2" s="14">
        <v>50</v>
      </c>
      <c r="D2" s="52">
        <f>C2*3.7/100</f>
        <v>1.85</v>
      </c>
      <c r="E2" s="52">
        <f>C2*0.1/100</f>
        <v>0.05</v>
      </c>
      <c r="F2" s="52">
        <f>C2*1.9/100</f>
        <v>0.95</v>
      </c>
      <c r="G2" s="52">
        <f t="shared" ref="G2:G8" si="0">F2*4+E2*9+D2*4</f>
        <v>11.65</v>
      </c>
      <c r="H2" s="3"/>
      <c r="I2" s="3"/>
      <c r="J2" s="2"/>
      <c r="K2" s="1"/>
    </row>
    <row r="3" spans="1:11" ht="24" customHeight="1" x14ac:dyDescent="0.25">
      <c r="A3" s="14" t="s">
        <v>26</v>
      </c>
      <c r="B3" s="20" t="s">
        <v>25</v>
      </c>
      <c r="C3" s="55">
        <v>250</v>
      </c>
      <c r="D3" s="56">
        <f>5.72/200*C3</f>
        <v>7.15</v>
      </c>
      <c r="E3" s="56">
        <f>9.3/200*C4</f>
        <v>9.3000000000000007</v>
      </c>
      <c r="F3" s="57">
        <f>10/200*C3</f>
        <v>12.5</v>
      </c>
      <c r="G3" s="56">
        <f>131.6/200*C3</f>
        <v>164.49999999999997</v>
      </c>
      <c r="H3" s="3"/>
      <c r="I3" s="3"/>
      <c r="J3" s="2"/>
      <c r="K3" s="8"/>
    </row>
    <row r="4" spans="1:11" x14ac:dyDescent="0.25">
      <c r="A4" s="112" t="s">
        <v>28</v>
      </c>
      <c r="B4" s="107" t="s">
        <v>27</v>
      </c>
      <c r="C4" s="112">
        <v>200</v>
      </c>
      <c r="D4" s="113">
        <f>5.75/150*C4</f>
        <v>7.6666666666666661</v>
      </c>
      <c r="E4" s="113">
        <f>7.15/150*C4</f>
        <v>9.5333333333333332</v>
      </c>
      <c r="F4" s="113">
        <f>35.25/150*C4</f>
        <v>47</v>
      </c>
      <c r="G4" s="113">
        <f>184.35/150*C4</f>
        <v>245.79999999999998</v>
      </c>
      <c r="H4" s="3"/>
      <c r="I4" s="3"/>
      <c r="J4" s="2"/>
      <c r="K4" s="1"/>
    </row>
    <row r="5" spans="1:11" x14ac:dyDescent="0.25">
      <c r="A5" s="110" t="s">
        <v>51</v>
      </c>
      <c r="B5" s="109" t="s">
        <v>61</v>
      </c>
      <c r="C5" s="110">
        <v>90</v>
      </c>
      <c r="D5" s="126">
        <f>12.91/100*C5</f>
        <v>11.619</v>
      </c>
      <c r="E5" s="126">
        <f>19.158/100*C5</f>
        <v>17.2422</v>
      </c>
      <c r="F5" s="126">
        <f>29.938/100*C5</f>
        <v>26.944199999999999</v>
      </c>
      <c r="G5" s="126">
        <f>370.54/100*C5</f>
        <v>333.48599999999999</v>
      </c>
      <c r="H5" s="3"/>
      <c r="I5" s="3"/>
      <c r="J5" s="2"/>
      <c r="K5" s="1"/>
    </row>
    <row r="6" spans="1:11" x14ac:dyDescent="0.25">
      <c r="A6" s="14"/>
      <c r="B6" s="15" t="s">
        <v>7</v>
      </c>
      <c r="C6" s="64">
        <v>30</v>
      </c>
      <c r="D6" s="64">
        <f>C6*7.7/100</f>
        <v>2.31</v>
      </c>
      <c r="E6" s="66">
        <f>C6*0.8/100</f>
        <v>0.24</v>
      </c>
      <c r="F6" s="64">
        <f>C6*49.5/100</f>
        <v>14.85</v>
      </c>
      <c r="G6" s="66">
        <f t="shared" ref="G6:G7" si="1">F6*4+E6*9+D6*4</f>
        <v>70.8</v>
      </c>
      <c r="H6" s="3"/>
      <c r="I6" s="3"/>
      <c r="J6" s="2"/>
      <c r="K6" s="1"/>
    </row>
    <row r="7" spans="1:11" x14ac:dyDescent="0.25">
      <c r="A7" s="14"/>
      <c r="B7" s="15" t="s">
        <v>12</v>
      </c>
      <c r="C7" s="64">
        <v>30</v>
      </c>
      <c r="D7" s="64">
        <f>C7*6.6/100</f>
        <v>1.98</v>
      </c>
      <c r="E7" s="64">
        <f>C7*1.1/100</f>
        <v>0.33</v>
      </c>
      <c r="F7" s="64">
        <f>C7*43.9/100</f>
        <v>13.17</v>
      </c>
      <c r="G7" s="64">
        <f t="shared" si="1"/>
        <v>63.57</v>
      </c>
      <c r="H7" s="3"/>
      <c r="I7" s="3"/>
      <c r="J7" s="2"/>
      <c r="K7" s="1"/>
    </row>
    <row r="8" spans="1:11" x14ac:dyDescent="0.25">
      <c r="A8" s="14" t="s">
        <v>20</v>
      </c>
      <c r="B8" s="15" t="s">
        <v>19</v>
      </c>
      <c r="C8" s="14">
        <v>200</v>
      </c>
      <c r="D8" s="16">
        <f>0.3/200*C8</f>
        <v>0.3</v>
      </c>
      <c r="E8" s="17">
        <f>0/200*C8</f>
        <v>0</v>
      </c>
      <c r="F8" s="16">
        <f>15.2/200*C8</f>
        <v>15.2</v>
      </c>
      <c r="G8" s="16">
        <f t="shared" si="0"/>
        <v>62</v>
      </c>
      <c r="H8" s="3"/>
      <c r="I8" s="3"/>
      <c r="J8" s="2"/>
      <c r="K8" s="1"/>
    </row>
    <row r="9" spans="1:11" x14ac:dyDescent="0.25">
      <c r="A9" s="143" t="s">
        <v>14</v>
      </c>
      <c r="B9" s="144"/>
      <c r="C9" s="72">
        <f t="shared" ref="C9:F9" si="2">SUM(C2:C8)</f>
        <v>850</v>
      </c>
      <c r="D9" s="19">
        <f t="shared" si="2"/>
        <v>32.87566666666666</v>
      </c>
      <c r="E9" s="19">
        <f t="shared" si="2"/>
        <v>36.695533333333337</v>
      </c>
      <c r="F9" s="19">
        <f t="shared" si="2"/>
        <v>130.61419999999998</v>
      </c>
      <c r="G9" s="19">
        <f>SUM(G2:G8)</f>
        <v>951.80599999999993</v>
      </c>
      <c r="H9" s="3"/>
      <c r="I9" s="3"/>
      <c r="J9" s="2"/>
      <c r="K9" s="1"/>
    </row>
    <row r="10" spans="1:11" x14ac:dyDescent="0.25">
      <c r="A10" s="156"/>
      <c r="B10" s="157"/>
      <c r="C10" s="157"/>
      <c r="D10" s="157"/>
      <c r="E10" s="157"/>
      <c r="F10" s="157"/>
      <c r="G10" s="157"/>
      <c r="H10" s="3"/>
      <c r="I10" s="3"/>
      <c r="J10" s="2"/>
      <c r="K10" s="1"/>
    </row>
    <row r="11" spans="1:11" s="81" customFormat="1" x14ac:dyDescent="0.25"/>
  </sheetData>
  <mergeCells count="3">
    <mergeCell ref="A1:G1"/>
    <mergeCell ref="A9:B9"/>
    <mergeCell ref="A10:G10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view="pageBreakPreview" zoomScaleNormal="110" zoomScaleSheetLayoutView="100" workbookViewId="0">
      <selection activeCell="F20" sqref="F20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7109375" customWidth="1"/>
  </cols>
  <sheetData>
    <row r="1" spans="1:24" x14ac:dyDescent="0.25">
      <c r="A1" s="143" t="s">
        <v>8</v>
      </c>
      <c r="B1" s="145"/>
      <c r="C1" s="145"/>
      <c r="D1" s="145"/>
      <c r="E1" s="145"/>
      <c r="F1" s="145"/>
      <c r="G1" s="145"/>
      <c r="H1" s="3"/>
      <c r="I1" s="3"/>
      <c r="J1" s="2"/>
      <c r="K1" s="1"/>
    </row>
    <row r="2" spans="1:24" ht="33" customHeight="1" x14ac:dyDescent="0.25">
      <c r="A2" s="80" t="s">
        <v>54</v>
      </c>
      <c r="B2" s="107" t="s">
        <v>58</v>
      </c>
      <c r="C2" s="14">
        <v>100</v>
      </c>
      <c r="D2" s="16">
        <f>1.8/80*C2</f>
        <v>2.25</v>
      </c>
      <c r="E2" s="16">
        <f>8.7/80*C2</f>
        <v>10.874999999999998</v>
      </c>
      <c r="F2" s="16">
        <f>2.8/80*C2</f>
        <v>3.4999999999999996</v>
      </c>
      <c r="G2" s="16">
        <f>98/80*C2</f>
        <v>122.50000000000001</v>
      </c>
      <c r="H2" s="3"/>
      <c r="I2" s="3"/>
      <c r="J2" s="2"/>
      <c r="K2" s="1"/>
    </row>
    <row r="3" spans="1:24" x14ac:dyDescent="0.25">
      <c r="A3" s="14" t="s">
        <v>17</v>
      </c>
      <c r="B3" s="15" t="s">
        <v>16</v>
      </c>
      <c r="C3" s="14">
        <v>250</v>
      </c>
      <c r="D3" s="16">
        <v>6.2</v>
      </c>
      <c r="E3" s="16">
        <v>3.6</v>
      </c>
      <c r="F3" s="16">
        <v>22.3</v>
      </c>
      <c r="G3" s="16">
        <v>186.4</v>
      </c>
      <c r="H3" s="3"/>
      <c r="I3" s="3"/>
      <c r="J3" s="2"/>
      <c r="K3" s="1"/>
    </row>
    <row r="4" spans="1:24" ht="25.5" x14ac:dyDescent="0.25">
      <c r="A4" s="108" t="s">
        <v>51</v>
      </c>
      <c r="B4" s="27" t="s">
        <v>43</v>
      </c>
      <c r="C4" s="108">
        <v>200</v>
      </c>
      <c r="D4" s="78">
        <f>15.9/230*C4</f>
        <v>13.826086956521738</v>
      </c>
      <c r="E4" s="78">
        <f>18.8/230*C4</f>
        <v>16.34782608695652</v>
      </c>
      <c r="F4" s="78">
        <f>68.26/230*C4</f>
        <v>59.356521739130443</v>
      </c>
      <c r="G4" s="78">
        <f>439.47/230*C4</f>
        <v>382.14782608695657</v>
      </c>
      <c r="H4" s="3"/>
      <c r="I4" s="3"/>
      <c r="J4" s="94"/>
      <c r="K4" s="94"/>
      <c r="L4" s="95"/>
      <c r="M4" s="6"/>
      <c r="N4" s="6"/>
      <c r="O4" s="6"/>
      <c r="P4" s="95"/>
      <c r="Q4" s="6"/>
      <c r="R4" s="6"/>
      <c r="S4" s="6"/>
      <c r="T4" s="6"/>
      <c r="U4" s="6"/>
      <c r="V4" s="6"/>
      <c r="W4" s="6"/>
      <c r="X4" s="6"/>
    </row>
    <row r="5" spans="1:24" x14ac:dyDescent="0.25">
      <c r="A5" s="14"/>
      <c r="B5" s="15" t="s">
        <v>7</v>
      </c>
      <c r="C5" s="14">
        <v>40</v>
      </c>
      <c r="D5" s="14">
        <f>C5*7.7/100</f>
        <v>3.08</v>
      </c>
      <c r="E5" s="16">
        <f>C5*0.8/100</f>
        <v>0.32</v>
      </c>
      <c r="F5" s="14">
        <f>C5*49.5/100</f>
        <v>19.8</v>
      </c>
      <c r="G5" s="16">
        <f t="shared" ref="G5:G6" si="0">F5*4+E5*9+D5*4</f>
        <v>94.4</v>
      </c>
      <c r="H5" s="3"/>
      <c r="I5" s="3"/>
      <c r="J5" s="2"/>
      <c r="K5" s="1"/>
    </row>
    <row r="6" spans="1:24" x14ac:dyDescent="0.25">
      <c r="A6" s="14"/>
      <c r="B6" s="15" t="s">
        <v>12</v>
      </c>
      <c r="C6" s="14">
        <v>30</v>
      </c>
      <c r="D6" s="14">
        <f>C6*6.6/100</f>
        <v>1.98</v>
      </c>
      <c r="E6" s="14">
        <f>C6*1.1/100</f>
        <v>0.33</v>
      </c>
      <c r="F6" s="14">
        <f>C6*43.9/100</f>
        <v>13.17</v>
      </c>
      <c r="G6" s="14">
        <f t="shared" si="0"/>
        <v>63.57</v>
      </c>
      <c r="H6" s="3"/>
      <c r="I6" s="3"/>
      <c r="J6" s="2"/>
      <c r="K6" s="1"/>
    </row>
    <row r="7" spans="1:24" x14ac:dyDescent="0.25">
      <c r="A7" s="84" t="s">
        <v>22</v>
      </c>
      <c r="B7" s="85" t="s">
        <v>21</v>
      </c>
      <c r="C7" s="84">
        <v>200</v>
      </c>
      <c r="D7" s="86">
        <v>3.8719999999999999</v>
      </c>
      <c r="E7" s="86">
        <v>3.8000000000000003</v>
      </c>
      <c r="F7" s="86">
        <v>13.092000000000001</v>
      </c>
      <c r="G7" s="86">
        <v>101.88</v>
      </c>
      <c r="H7" s="3"/>
      <c r="I7" s="3"/>
      <c r="J7" s="2"/>
      <c r="K7" s="1"/>
    </row>
    <row r="8" spans="1:24" x14ac:dyDescent="0.25">
      <c r="A8" s="143" t="s">
        <v>14</v>
      </c>
      <c r="B8" s="144"/>
      <c r="C8" s="72">
        <f t="shared" ref="C8:G8" si="1">SUM(C2:C7)</f>
        <v>820</v>
      </c>
      <c r="D8" s="19">
        <f>SUM(D2:D7)</f>
        <v>31.208086956521736</v>
      </c>
      <c r="E8" s="19">
        <f t="shared" si="1"/>
        <v>35.272826086956513</v>
      </c>
      <c r="F8" s="19">
        <f>SUM(F2:F7)</f>
        <v>131.21852173913044</v>
      </c>
      <c r="G8" s="19">
        <f t="shared" si="1"/>
        <v>950.89782608695657</v>
      </c>
      <c r="H8" s="3"/>
      <c r="I8" s="3"/>
      <c r="J8" s="2"/>
      <c r="K8" s="1"/>
    </row>
    <row r="9" spans="1:24" x14ac:dyDescent="0.25">
      <c r="A9" s="141"/>
      <c r="B9" s="142"/>
      <c r="C9" s="142"/>
      <c r="D9" s="142"/>
      <c r="E9" s="142"/>
      <c r="F9" s="142"/>
      <c r="G9" s="142"/>
      <c r="H9" s="3"/>
      <c r="I9" s="3"/>
      <c r="J9" s="2"/>
      <c r="K9" s="1"/>
    </row>
  </sheetData>
  <mergeCells count="3">
    <mergeCell ref="A1:G1"/>
    <mergeCell ref="A8:B8"/>
    <mergeCell ref="A9:G9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Normal="110" zoomScaleSheetLayoutView="100" workbookViewId="0">
      <selection activeCell="G9" sqref="G9"/>
    </sheetView>
  </sheetViews>
  <sheetFormatPr defaultRowHeight="15" x14ac:dyDescent="0.25"/>
  <cols>
    <col min="1" max="1" width="9.85546875" customWidth="1"/>
    <col min="2" max="2" width="26.42578125" customWidth="1"/>
    <col min="3" max="3" width="6.85546875" customWidth="1"/>
    <col min="4" max="4" width="7.7109375" customWidth="1"/>
    <col min="5" max="5" width="7" customWidth="1"/>
    <col min="7" max="7" width="8.5703125" customWidth="1"/>
  </cols>
  <sheetData>
    <row r="1" spans="1:16" ht="15.75" x14ac:dyDescent="0.25">
      <c r="A1" s="146"/>
      <c r="B1" s="146"/>
      <c r="C1" s="146"/>
      <c r="D1" s="147"/>
      <c r="E1" s="147"/>
      <c r="F1" s="147"/>
      <c r="G1" s="147"/>
    </row>
    <row r="2" spans="1:16" ht="15.75" x14ac:dyDescent="0.25">
      <c r="A2" s="67" t="s">
        <v>69</v>
      </c>
      <c r="B2" s="67"/>
      <c r="C2" s="68"/>
      <c r="D2" s="148" t="s">
        <v>38</v>
      </c>
      <c r="E2" s="148"/>
      <c r="F2" s="148"/>
      <c r="G2" s="148"/>
    </row>
    <row r="3" spans="1:16" ht="15" customHeight="1" x14ac:dyDescent="0.25">
      <c r="A3" s="149" t="s">
        <v>0</v>
      </c>
      <c r="B3" s="149" t="s">
        <v>1</v>
      </c>
      <c r="C3" s="151" t="s">
        <v>2</v>
      </c>
      <c r="D3" s="153" t="s">
        <v>6</v>
      </c>
      <c r="E3" s="154"/>
      <c r="F3" s="155"/>
      <c r="G3" s="151" t="s">
        <v>46</v>
      </c>
    </row>
    <row r="4" spans="1:16" x14ac:dyDescent="0.25">
      <c r="A4" s="150"/>
      <c r="B4" s="150"/>
      <c r="C4" s="152"/>
      <c r="D4" s="13" t="s">
        <v>3</v>
      </c>
      <c r="E4" s="13" t="s">
        <v>4</v>
      </c>
      <c r="F4" s="13" t="s">
        <v>5</v>
      </c>
      <c r="G4" s="152"/>
    </row>
    <row r="5" spans="1:16" x14ac:dyDescent="0.25">
      <c r="A5" s="143" t="s">
        <v>8</v>
      </c>
      <c r="B5" s="145"/>
      <c r="C5" s="145"/>
      <c r="D5" s="145"/>
      <c r="E5" s="145"/>
      <c r="F5" s="145"/>
      <c r="G5" s="145"/>
      <c r="H5" s="3"/>
      <c r="I5" s="3"/>
      <c r="J5" s="2"/>
      <c r="K5" s="1"/>
    </row>
    <row r="6" spans="1:16" x14ac:dyDescent="0.25">
      <c r="A6" s="29" t="s">
        <v>24</v>
      </c>
      <c r="B6" s="107" t="s">
        <v>59</v>
      </c>
      <c r="C6" s="29">
        <v>250</v>
      </c>
      <c r="D6" s="30">
        <f>C6*1.17/100</f>
        <v>2.9249999999999998</v>
      </c>
      <c r="E6" s="30">
        <f>C6*2.05/100</f>
        <v>5.125</v>
      </c>
      <c r="F6" s="30">
        <f>C6*9.94/100</f>
        <v>24.85</v>
      </c>
      <c r="G6" s="30">
        <f t="shared" ref="G6:G10" si="0">F6*4+E6*9+D6*4</f>
        <v>157.22499999999999</v>
      </c>
      <c r="H6" s="3"/>
      <c r="I6" s="3"/>
      <c r="J6" s="2"/>
      <c r="K6" s="1"/>
    </row>
    <row r="7" spans="1:16" s="28" customFormat="1" x14ac:dyDescent="0.25">
      <c r="A7" s="14" t="s">
        <v>11</v>
      </c>
      <c r="B7" s="15" t="s">
        <v>10</v>
      </c>
      <c r="C7" s="21">
        <v>200</v>
      </c>
      <c r="D7" s="16">
        <f>C7*2.1/100</f>
        <v>4.2</v>
      </c>
      <c r="E7" s="16">
        <f>C7*4.5/100</f>
        <v>9</v>
      </c>
      <c r="F7" s="16">
        <f>C7*14.6/100</f>
        <v>29.2</v>
      </c>
      <c r="G7" s="16">
        <f>214.6/200*C7</f>
        <v>214.6</v>
      </c>
      <c r="H7" s="83"/>
      <c r="I7" s="83"/>
      <c r="J7" s="82"/>
      <c r="K7" s="81"/>
      <c r="L7" s="81"/>
      <c r="M7" s="81"/>
      <c r="N7" s="81"/>
      <c r="O7" s="81"/>
      <c r="P7" s="81"/>
    </row>
    <row r="8" spans="1:16" s="81" customFormat="1" x14ac:dyDescent="0.25">
      <c r="A8" s="14" t="s">
        <v>51</v>
      </c>
      <c r="B8" s="15" t="s">
        <v>31</v>
      </c>
      <c r="C8" s="14">
        <v>100</v>
      </c>
      <c r="D8" s="16">
        <f>C8*21.3/100</f>
        <v>21.3</v>
      </c>
      <c r="E8" s="16">
        <f>C8*14.1/100</f>
        <v>14.1</v>
      </c>
      <c r="F8" s="16">
        <f>C8*31.7/100</f>
        <v>31.7</v>
      </c>
      <c r="G8" s="16">
        <f>296.71/90*C8</f>
        <v>329.67777777777775</v>
      </c>
      <c r="H8" s="83"/>
      <c r="I8" s="83"/>
      <c r="J8" s="82"/>
    </row>
    <row r="9" spans="1:16" x14ac:dyDescent="0.25">
      <c r="A9" s="87" t="s">
        <v>53</v>
      </c>
      <c r="B9" s="34" t="s">
        <v>7</v>
      </c>
      <c r="C9" s="31">
        <v>30</v>
      </c>
      <c r="D9" s="31">
        <f>C9*7.7/100</f>
        <v>2.31</v>
      </c>
      <c r="E9" s="33">
        <f>C9*0.8/100</f>
        <v>0.24</v>
      </c>
      <c r="F9" s="31">
        <f>C9*49.5/100</f>
        <v>14.85</v>
      </c>
      <c r="G9" s="33">
        <f t="shared" si="0"/>
        <v>70.8</v>
      </c>
      <c r="H9" s="3"/>
      <c r="I9" s="3"/>
      <c r="J9" s="2"/>
      <c r="K9" s="1"/>
    </row>
    <row r="10" spans="1:16" x14ac:dyDescent="0.25">
      <c r="A10" s="14"/>
      <c r="B10" s="15" t="s">
        <v>12</v>
      </c>
      <c r="C10" s="14">
        <v>50</v>
      </c>
      <c r="D10" s="14">
        <f>C10*6.6/100</f>
        <v>3.3</v>
      </c>
      <c r="E10" s="14">
        <f>C10*1.1/100</f>
        <v>0.55000000000000004</v>
      </c>
      <c r="F10" s="14">
        <f>C10*43.9/100</f>
        <v>21.95</v>
      </c>
      <c r="G10" s="14">
        <f t="shared" si="0"/>
        <v>105.95</v>
      </c>
      <c r="H10" s="3"/>
      <c r="I10" s="3"/>
      <c r="J10" s="2"/>
      <c r="K10" s="1"/>
    </row>
    <row r="11" spans="1:16" x14ac:dyDescent="0.25">
      <c r="A11" s="38" t="s">
        <v>35</v>
      </c>
      <c r="B11" s="40" t="s">
        <v>34</v>
      </c>
      <c r="C11" s="38">
        <v>200</v>
      </c>
      <c r="D11" s="39">
        <f>0.4/200*C11</f>
        <v>0.4</v>
      </c>
      <c r="E11" s="39">
        <f>0.27/200*C11</f>
        <v>0.27</v>
      </c>
      <c r="F11" s="39">
        <f>17.2/200*C11</f>
        <v>17.2</v>
      </c>
      <c r="G11" s="39">
        <f>72.83/200*C11</f>
        <v>72.83</v>
      </c>
      <c r="H11" s="3"/>
      <c r="I11" s="3"/>
      <c r="J11" s="2"/>
      <c r="K11" s="1"/>
    </row>
    <row r="12" spans="1:16" x14ac:dyDescent="0.25">
      <c r="A12" s="143" t="s">
        <v>14</v>
      </c>
      <c r="B12" s="144"/>
      <c r="C12" s="72">
        <f>SUM(C6:C11)</f>
        <v>830</v>
      </c>
      <c r="D12" s="19">
        <f>SUM(D6:D11)</f>
        <v>34.434999999999995</v>
      </c>
      <c r="E12" s="19">
        <f>SUM(E6:E11)</f>
        <v>29.285</v>
      </c>
      <c r="F12" s="19">
        <f>SUM(F6:F11)</f>
        <v>139.75</v>
      </c>
      <c r="G12" s="19">
        <f>SUM(G6:G11)</f>
        <v>951.08277777777778</v>
      </c>
      <c r="H12" s="3"/>
      <c r="I12" s="3"/>
      <c r="J12" s="2"/>
      <c r="K12" s="1"/>
    </row>
    <row r="13" spans="1:16" x14ac:dyDescent="0.25">
      <c r="A13" s="141"/>
      <c r="B13" s="142"/>
      <c r="C13" s="142"/>
      <c r="D13" s="142"/>
      <c r="E13" s="142"/>
      <c r="F13" s="142"/>
      <c r="G13" s="142"/>
      <c r="H13" s="3"/>
      <c r="I13" s="3"/>
      <c r="J13" s="2"/>
      <c r="K13" s="1"/>
    </row>
    <row r="16" spans="1:16" x14ac:dyDescent="0.25">
      <c r="C16" s="74"/>
      <c r="D16" s="75"/>
      <c r="E16" s="75"/>
      <c r="F16" s="75"/>
      <c r="G16" s="75"/>
    </row>
    <row r="17" spans="3:7" x14ac:dyDescent="0.25">
      <c r="C17" s="76"/>
      <c r="D17" s="76"/>
      <c r="E17" s="76"/>
      <c r="F17" s="76"/>
      <c r="G17" s="76"/>
    </row>
  </sheetData>
  <mergeCells count="11">
    <mergeCell ref="A13:G13"/>
    <mergeCell ref="A1:C1"/>
    <mergeCell ref="D1:G1"/>
    <mergeCell ref="D2:G2"/>
    <mergeCell ref="A5:G5"/>
    <mergeCell ref="A12:B12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3" orientation="landscape" r:id="rId1"/>
  <colBreaks count="1" manualBreakCount="1">
    <brk id="8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Normal="110" zoomScaleSheetLayoutView="100" workbookViewId="0">
      <selection activeCell="G24" sqref="G24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140625" customWidth="1"/>
  </cols>
  <sheetData>
    <row r="1" spans="1:12" ht="15.75" x14ac:dyDescent="0.25">
      <c r="A1" s="146"/>
      <c r="B1" s="146"/>
      <c r="C1" s="146"/>
      <c r="D1" s="147"/>
      <c r="E1" s="147"/>
      <c r="F1" s="147"/>
      <c r="G1" s="147"/>
    </row>
    <row r="2" spans="1:12" ht="15.75" x14ac:dyDescent="0.25">
      <c r="A2" s="140" t="s">
        <v>69</v>
      </c>
      <c r="B2" s="67"/>
      <c r="C2" s="68"/>
      <c r="D2" s="148" t="s">
        <v>39</v>
      </c>
      <c r="E2" s="148"/>
      <c r="F2" s="148"/>
      <c r="G2" s="148"/>
    </row>
    <row r="3" spans="1:12" ht="18" customHeight="1" x14ac:dyDescent="0.25">
      <c r="A3" s="149" t="s">
        <v>0</v>
      </c>
      <c r="B3" s="149" t="s">
        <v>1</v>
      </c>
      <c r="C3" s="151" t="s">
        <v>2</v>
      </c>
      <c r="D3" s="153" t="s">
        <v>6</v>
      </c>
      <c r="E3" s="154"/>
      <c r="F3" s="155"/>
      <c r="G3" s="151" t="s">
        <v>46</v>
      </c>
      <c r="H3" s="2"/>
      <c r="I3" s="2"/>
      <c r="J3" s="1"/>
    </row>
    <row r="4" spans="1:12" x14ac:dyDescent="0.25">
      <c r="A4" s="150"/>
      <c r="B4" s="150"/>
      <c r="C4" s="152"/>
      <c r="D4" s="13" t="s">
        <v>3</v>
      </c>
      <c r="E4" s="13" t="s">
        <v>4</v>
      </c>
      <c r="F4" s="13" t="s">
        <v>5</v>
      </c>
      <c r="G4" s="152"/>
      <c r="H4" s="2"/>
      <c r="I4" s="2"/>
      <c r="J4" s="1"/>
    </row>
    <row r="5" spans="1:12" x14ac:dyDescent="0.25">
      <c r="A5" s="143" t="s">
        <v>8</v>
      </c>
      <c r="B5" s="145"/>
      <c r="C5" s="145"/>
      <c r="D5" s="145"/>
      <c r="E5" s="145"/>
      <c r="F5" s="145"/>
      <c r="G5" s="145"/>
      <c r="H5" s="3"/>
      <c r="I5" s="2"/>
      <c r="J5" s="1"/>
    </row>
    <row r="6" spans="1:12" s="47" customFormat="1" x14ac:dyDescent="0.25">
      <c r="A6" s="112" t="s">
        <v>51</v>
      </c>
      <c r="B6" s="127" t="s">
        <v>62</v>
      </c>
      <c r="C6" s="56">
        <v>75</v>
      </c>
      <c r="D6" s="139">
        <f>8.05/75*C6</f>
        <v>8.0500000000000007</v>
      </c>
      <c r="E6" s="139">
        <f>10.03/75*C6</f>
        <v>10.029999999999999</v>
      </c>
      <c r="F6" s="139">
        <f>21/75*C6</f>
        <v>21.000000000000004</v>
      </c>
      <c r="G6" s="139">
        <f>206/75*C6</f>
        <v>206</v>
      </c>
      <c r="H6" s="50"/>
      <c r="I6" s="49"/>
      <c r="J6" s="48"/>
    </row>
    <row r="7" spans="1:12" x14ac:dyDescent="0.25">
      <c r="A7" s="25" t="s">
        <v>51</v>
      </c>
      <c r="B7" s="26" t="s">
        <v>41</v>
      </c>
      <c r="C7" s="25">
        <v>250</v>
      </c>
      <c r="D7" s="25">
        <f>4.2/250*C7</f>
        <v>4.2</v>
      </c>
      <c r="E7" s="25">
        <f>10.78/250*C7</f>
        <v>10.78</v>
      </c>
      <c r="F7" s="25">
        <f>17.38/250*C7</f>
        <v>17.38</v>
      </c>
      <c r="G7" s="25">
        <v>127</v>
      </c>
      <c r="H7" s="3"/>
      <c r="I7" s="2"/>
      <c r="J7" s="1"/>
    </row>
    <row r="8" spans="1:12" s="96" customFormat="1" x14ac:dyDescent="0.25">
      <c r="A8" s="101" t="s">
        <v>51</v>
      </c>
      <c r="B8" s="102" t="s">
        <v>63</v>
      </c>
      <c r="C8" s="101">
        <v>100</v>
      </c>
      <c r="D8" s="77">
        <f>8.9444/80*C8</f>
        <v>11.1805</v>
      </c>
      <c r="E8" s="77">
        <f>4.3544/80*C8</f>
        <v>5.4429999999999996</v>
      </c>
      <c r="F8" s="77">
        <f>27.08/80*C8</f>
        <v>33.849999999999994</v>
      </c>
      <c r="G8" s="77">
        <f>192.592/80*C8</f>
        <v>240.74</v>
      </c>
      <c r="H8" s="83"/>
      <c r="I8" s="82"/>
      <c r="J8" s="81"/>
    </row>
    <row r="9" spans="1:12" x14ac:dyDescent="0.25">
      <c r="A9" s="112" t="s">
        <v>51</v>
      </c>
      <c r="B9" s="111" t="s">
        <v>64</v>
      </c>
      <c r="C9" s="14">
        <v>180</v>
      </c>
      <c r="D9" s="113">
        <f>3.36986/130*C9</f>
        <v>4.6659600000000001</v>
      </c>
      <c r="E9" s="113">
        <f>3.82564/130*C9</f>
        <v>5.29704</v>
      </c>
      <c r="F9" s="17">
        <f>21.75368/130*C9</f>
        <v>30.120479999999997</v>
      </c>
      <c r="G9" s="16">
        <f>174/130*C9</f>
        <v>240.92307692307691</v>
      </c>
      <c r="H9" s="3"/>
      <c r="I9" s="2"/>
      <c r="J9" s="1"/>
    </row>
    <row r="10" spans="1:12" s="96" customFormat="1" x14ac:dyDescent="0.25">
      <c r="A10" s="112"/>
      <c r="B10" s="111" t="s">
        <v>12</v>
      </c>
      <c r="C10" s="112">
        <v>20</v>
      </c>
      <c r="D10" s="112">
        <f>C10*6.6/100</f>
        <v>1.32</v>
      </c>
      <c r="E10" s="112">
        <f>C10*1.1/100</f>
        <v>0.22</v>
      </c>
      <c r="F10" s="112">
        <f>C10*43.9/100</f>
        <v>8.7799999999999994</v>
      </c>
      <c r="G10" s="112">
        <f t="shared" ref="G10" si="0">F10*4+E10*9+D10*4</f>
        <v>42.379999999999995</v>
      </c>
      <c r="H10" s="83"/>
      <c r="I10" s="82"/>
      <c r="J10" s="81"/>
    </row>
    <row r="11" spans="1:12" x14ac:dyDescent="0.25">
      <c r="A11" s="14"/>
      <c r="B11" s="15" t="s">
        <v>7</v>
      </c>
      <c r="C11" s="14">
        <v>20</v>
      </c>
      <c r="D11" s="14">
        <f>C11*7.7/100</f>
        <v>1.54</v>
      </c>
      <c r="E11" s="16">
        <f>C11*0.8/100</f>
        <v>0.16</v>
      </c>
      <c r="F11" s="14">
        <f>C11*49.5/100</f>
        <v>9.9</v>
      </c>
      <c r="G11" s="16">
        <f t="shared" ref="G11:G12" si="1">F11*4+E11*9+D11*4</f>
        <v>47.2</v>
      </c>
      <c r="H11" s="3"/>
      <c r="I11" s="2"/>
      <c r="J11" s="1"/>
    </row>
    <row r="12" spans="1:12" x14ac:dyDescent="0.25">
      <c r="A12" s="14" t="s">
        <v>20</v>
      </c>
      <c r="B12" s="24" t="s">
        <v>19</v>
      </c>
      <c r="C12" s="112">
        <v>200</v>
      </c>
      <c r="D12" s="113">
        <f>0.3/200*C12</f>
        <v>0.3</v>
      </c>
      <c r="E12" s="114">
        <f>0/200*C12</f>
        <v>0</v>
      </c>
      <c r="F12" s="113">
        <f>15.2/200*C12</f>
        <v>15.2</v>
      </c>
      <c r="G12" s="113">
        <f t="shared" si="1"/>
        <v>62</v>
      </c>
      <c r="H12" s="3"/>
      <c r="I12" s="2"/>
      <c r="J12" s="1"/>
    </row>
    <row r="13" spans="1:12" x14ac:dyDescent="0.25">
      <c r="A13" s="143" t="s">
        <v>14</v>
      </c>
      <c r="B13" s="144"/>
      <c r="C13" s="72">
        <f>SUM(C6:C12)</f>
        <v>845</v>
      </c>
      <c r="D13" s="19">
        <f t="shared" ref="D13:G13" si="2">SUM(D6:D12)</f>
        <v>31.256460000000001</v>
      </c>
      <c r="E13" s="19">
        <f t="shared" si="2"/>
        <v>31.930039999999998</v>
      </c>
      <c r="F13" s="19">
        <f t="shared" si="2"/>
        <v>136.23048</v>
      </c>
      <c r="G13" s="19">
        <f t="shared" si="2"/>
        <v>966.24307692307696</v>
      </c>
      <c r="H13" s="3"/>
      <c r="I13" s="2"/>
      <c r="J13" s="1"/>
      <c r="L13" s="23"/>
    </row>
    <row r="14" spans="1:12" x14ac:dyDescent="0.25">
      <c r="A14" s="141"/>
      <c r="B14" s="142"/>
      <c r="C14" s="142"/>
      <c r="D14" s="142"/>
      <c r="E14" s="142"/>
      <c r="F14" s="142"/>
      <c r="G14" s="142"/>
      <c r="H14" s="3"/>
      <c r="I14" s="2"/>
      <c r="J14" s="1"/>
    </row>
  </sheetData>
  <mergeCells count="11">
    <mergeCell ref="A14:G14"/>
    <mergeCell ref="A5:G5"/>
    <mergeCell ref="A13:B13"/>
    <mergeCell ref="C3:C4"/>
    <mergeCell ref="D3:F3"/>
    <mergeCell ref="G3:G4"/>
    <mergeCell ref="A1:C1"/>
    <mergeCell ref="D1:G1"/>
    <mergeCell ref="D2:G2"/>
    <mergeCell ref="A3:A4"/>
    <mergeCell ref="B3:B4"/>
  </mergeCells>
  <pageMargins left="0.7" right="0.7" top="0.75" bottom="0.75" header="0.3" footer="0.3"/>
  <pageSetup paperSize="9" scale="91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Normal="110" zoomScaleSheetLayoutView="100" workbookViewId="0">
      <selection activeCell="G4" sqref="G4"/>
    </sheetView>
  </sheetViews>
  <sheetFormatPr defaultRowHeight="15" x14ac:dyDescent="0.25"/>
  <cols>
    <col min="1" max="1" width="12.85546875" customWidth="1"/>
    <col min="2" max="2" width="28.42578125" customWidth="1"/>
    <col min="3" max="3" width="8" customWidth="1"/>
    <col min="4" max="4" width="7.7109375" customWidth="1"/>
    <col min="5" max="5" width="7" customWidth="1"/>
    <col min="7" max="7" width="9.42578125" customWidth="1"/>
  </cols>
  <sheetData>
    <row r="1" spans="1:11" x14ac:dyDescent="0.25">
      <c r="A1" s="143" t="s">
        <v>8</v>
      </c>
      <c r="B1" s="145"/>
      <c r="C1" s="145"/>
      <c r="D1" s="145"/>
      <c r="E1" s="145"/>
      <c r="F1" s="145"/>
      <c r="G1" s="145"/>
      <c r="H1" s="3"/>
      <c r="I1" s="3"/>
      <c r="J1" s="2"/>
      <c r="K1" s="1"/>
    </row>
    <row r="2" spans="1:11" ht="25.5" x14ac:dyDescent="0.25">
      <c r="A2" s="115" t="s">
        <v>42</v>
      </c>
      <c r="B2" s="128" t="s">
        <v>45</v>
      </c>
      <c r="C2" s="115">
        <v>80</v>
      </c>
      <c r="D2" s="78">
        <f>3.02/90*C2</f>
        <v>2.6844444444444444</v>
      </c>
      <c r="E2" s="78">
        <f>6.36/90*C2</f>
        <v>5.6533333333333333</v>
      </c>
      <c r="F2" s="78">
        <f>13.72/90*C2</f>
        <v>12.195555555555554</v>
      </c>
      <c r="G2" s="78">
        <f>164.2/90*C2</f>
        <v>145.95555555555555</v>
      </c>
      <c r="H2" s="3"/>
      <c r="I2" s="3"/>
      <c r="J2" s="2"/>
      <c r="K2" s="1"/>
    </row>
    <row r="3" spans="1:11" x14ac:dyDescent="0.25">
      <c r="A3" s="80" t="s">
        <v>51</v>
      </c>
      <c r="B3" s="129" t="s">
        <v>65</v>
      </c>
      <c r="C3" s="80">
        <v>250</v>
      </c>
      <c r="D3" s="130">
        <f>7.3/200*C3</f>
        <v>9.125</v>
      </c>
      <c r="E3" s="130">
        <f>7.2/200*C3</f>
        <v>9.0000000000000018</v>
      </c>
      <c r="F3" s="130">
        <f>12.2/200*C3</f>
        <v>15.25</v>
      </c>
      <c r="G3" s="130">
        <f>151.3/200*C3</f>
        <v>189.12500000000003</v>
      </c>
      <c r="H3" s="3"/>
      <c r="I3" s="3"/>
      <c r="J3" s="2"/>
      <c r="K3" s="1"/>
    </row>
    <row r="4" spans="1:11" s="96" customFormat="1" x14ac:dyDescent="0.25">
      <c r="A4" s="80" t="s">
        <v>11</v>
      </c>
      <c r="B4" s="24" t="s">
        <v>10</v>
      </c>
      <c r="C4" s="80">
        <v>180</v>
      </c>
      <c r="D4" s="131">
        <f>C4*2.1/100</f>
        <v>3.78</v>
      </c>
      <c r="E4" s="131">
        <f>C4*4.5/100</f>
        <v>8.1</v>
      </c>
      <c r="F4" s="131">
        <f>C4*14.6/100</f>
        <v>26.28</v>
      </c>
      <c r="G4" s="131">
        <f>193.14/180*C4</f>
        <v>193.14</v>
      </c>
      <c r="H4" s="83"/>
      <c r="I4" s="83"/>
      <c r="J4" s="82"/>
      <c r="K4" s="81"/>
    </row>
    <row r="5" spans="1:11" x14ac:dyDescent="0.25">
      <c r="A5" s="80" t="s">
        <v>51</v>
      </c>
      <c r="B5" s="24" t="s">
        <v>52</v>
      </c>
      <c r="C5" s="80">
        <v>100</v>
      </c>
      <c r="D5" s="130">
        <f>12.11/100*C5</f>
        <v>12.11</v>
      </c>
      <c r="E5" s="130">
        <f>10.06/100*C5</f>
        <v>10.06</v>
      </c>
      <c r="F5" s="130">
        <f>17.39/100*C5</f>
        <v>17.39</v>
      </c>
      <c r="G5" s="130">
        <f>265.02/100*C5</f>
        <v>265.02</v>
      </c>
      <c r="H5" s="3"/>
      <c r="I5" s="3"/>
      <c r="J5" s="2"/>
      <c r="K5" s="1"/>
    </row>
    <row r="6" spans="1:11" x14ac:dyDescent="0.25">
      <c r="A6" s="80"/>
      <c r="B6" s="24" t="s">
        <v>7</v>
      </c>
      <c r="C6" s="80">
        <v>30</v>
      </c>
      <c r="D6" s="80">
        <f>C6*7.7/100</f>
        <v>2.31</v>
      </c>
      <c r="E6" s="130">
        <f>C6*0.8/100</f>
        <v>0.24</v>
      </c>
      <c r="F6" s="80">
        <f>C6*49.5/100</f>
        <v>14.85</v>
      </c>
      <c r="G6" s="130">
        <f t="shared" ref="G6" si="0">F6*4+E6*9+D6*4</f>
        <v>70.8</v>
      </c>
      <c r="H6" s="3"/>
      <c r="I6" s="3"/>
      <c r="J6" s="2"/>
      <c r="K6" s="1"/>
    </row>
    <row r="7" spans="1:11" x14ac:dyDescent="0.25">
      <c r="A7" s="115"/>
      <c r="B7" s="27" t="s">
        <v>48</v>
      </c>
      <c r="C7" s="115">
        <v>200</v>
      </c>
      <c r="D7" s="132">
        <f>1/200*C7</f>
        <v>1</v>
      </c>
      <c r="E7" s="78">
        <f>0.2/200*C7</f>
        <v>0.2</v>
      </c>
      <c r="F7" s="78">
        <f>47.2/200*C7</f>
        <v>47.2</v>
      </c>
      <c r="G7" s="78">
        <f>86.6/200*C7</f>
        <v>86.6</v>
      </c>
      <c r="H7" s="3"/>
      <c r="I7" s="3"/>
      <c r="J7" s="2"/>
      <c r="K7" s="1"/>
    </row>
    <row r="8" spans="1:11" x14ac:dyDescent="0.25">
      <c r="A8" s="158" t="s">
        <v>14</v>
      </c>
      <c r="B8" s="159"/>
      <c r="C8" s="133">
        <f t="shared" ref="C8:G8" si="1">SUM(C2:C7)</f>
        <v>840</v>
      </c>
      <c r="D8" s="134">
        <f t="shared" si="1"/>
        <v>31.009444444444444</v>
      </c>
      <c r="E8" s="134">
        <f t="shared" si="1"/>
        <v>33.253333333333345</v>
      </c>
      <c r="F8" s="134">
        <f t="shared" si="1"/>
        <v>133.16555555555556</v>
      </c>
      <c r="G8" s="134">
        <f t="shared" si="1"/>
        <v>950.64055555555558</v>
      </c>
      <c r="H8" s="3"/>
      <c r="I8" s="3"/>
      <c r="J8" s="2"/>
      <c r="K8" s="1"/>
    </row>
    <row r="9" spans="1:11" x14ac:dyDescent="0.25">
      <c r="A9" s="160"/>
      <c r="B9" s="161"/>
      <c r="C9" s="161"/>
      <c r="D9" s="161"/>
      <c r="E9" s="161"/>
      <c r="F9" s="161"/>
      <c r="G9" s="161"/>
      <c r="H9" s="3"/>
      <c r="I9" s="3"/>
      <c r="J9" s="2"/>
      <c r="K9" s="1"/>
    </row>
  </sheetData>
  <mergeCells count="3">
    <mergeCell ref="A8:B8"/>
    <mergeCell ref="A9:G9"/>
    <mergeCell ref="A1:G1"/>
  </mergeCells>
  <pageMargins left="0.7" right="0.7" top="0.75" bottom="0.75" header="0.3" footer="0.3"/>
  <pageSetup paperSize="9" scale="93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10" zoomScaleSheetLayoutView="100" workbookViewId="0">
      <selection activeCell="G13" sqref="G13"/>
    </sheetView>
  </sheetViews>
  <sheetFormatPr defaultRowHeight="15" x14ac:dyDescent="0.25"/>
  <cols>
    <col min="1" max="1" width="13.4257812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5703125" customWidth="1"/>
    <col min="8" max="8" width="6.7109375" customWidth="1"/>
  </cols>
  <sheetData>
    <row r="1" spans="1:11" ht="15.75" x14ac:dyDescent="0.25">
      <c r="A1" s="146"/>
      <c r="B1" s="146"/>
      <c r="C1" s="146"/>
      <c r="D1" s="147"/>
      <c r="E1" s="147"/>
      <c r="F1" s="147"/>
      <c r="G1" s="147"/>
    </row>
    <row r="2" spans="1:11" ht="15.75" x14ac:dyDescent="0.25">
      <c r="A2" s="140" t="s">
        <v>69</v>
      </c>
      <c r="B2" s="67"/>
      <c r="C2" s="68"/>
      <c r="D2" s="148" t="s">
        <v>36</v>
      </c>
      <c r="E2" s="148"/>
      <c r="F2" s="148"/>
      <c r="G2" s="148"/>
    </row>
    <row r="3" spans="1:11" ht="18" customHeight="1" x14ac:dyDescent="0.25">
      <c r="A3" s="165" t="s">
        <v>0</v>
      </c>
      <c r="B3" s="165" t="s">
        <v>1</v>
      </c>
      <c r="C3" s="167" t="s">
        <v>2</v>
      </c>
      <c r="D3" s="165" t="s">
        <v>6</v>
      </c>
      <c r="E3" s="165"/>
      <c r="F3" s="165"/>
      <c r="G3" s="151" t="s">
        <v>46</v>
      </c>
      <c r="H3" s="164"/>
      <c r="I3" s="2"/>
      <c r="J3" s="2"/>
      <c r="K3" s="1"/>
    </row>
    <row r="4" spans="1:11" ht="42.75" customHeight="1" x14ac:dyDescent="0.25">
      <c r="A4" s="165"/>
      <c r="B4" s="165"/>
      <c r="C4" s="167"/>
      <c r="D4" s="13" t="s">
        <v>3</v>
      </c>
      <c r="E4" s="13" t="s">
        <v>4</v>
      </c>
      <c r="F4" s="13" t="s">
        <v>5</v>
      </c>
      <c r="G4" s="152"/>
      <c r="H4" s="164"/>
      <c r="I4" s="2"/>
      <c r="J4" s="2"/>
      <c r="K4" s="1"/>
    </row>
    <row r="5" spans="1:11" x14ac:dyDescent="0.25">
      <c r="A5" s="143" t="s">
        <v>8</v>
      </c>
      <c r="B5" s="145"/>
      <c r="C5" s="145"/>
      <c r="D5" s="145"/>
      <c r="E5" s="145"/>
      <c r="F5" s="145"/>
      <c r="G5" s="145"/>
      <c r="H5" s="10"/>
      <c r="I5" s="3"/>
      <c r="J5" s="2"/>
      <c r="K5" s="1"/>
    </row>
    <row r="6" spans="1:11" x14ac:dyDescent="0.25">
      <c r="A6" s="14" t="s">
        <v>51</v>
      </c>
      <c r="B6" s="15" t="s">
        <v>66</v>
      </c>
      <c r="C6" s="14">
        <v>250</v>
      </c>
      <c r="D6" s="16">
        <v>3.2</v>
      </c>
      <c r="E6" s="16">
        <v>5.55</v>
      </c>
      <c r="F6" s="16">
        <v>35.130000000000003</v>
      </c>
      <c r="G6" s="16">
        <v>204.33</v>
      </c>
      <c r="H6" s="9"/>
      <c r="I6" s="3"/>
      <c r="J6" s="2"/>
      <c r="K6" s="1"/>
    </row>
    <row r="7" spans="1:11" s="96" customFormat="1" x14ac:dyDescent="0.25">
      <c r="A7" s="112" t="s">
        <v>51</v>
      </c>
      <c r="B7" s="111" t="s">
        <v>70</v>
      </c>
      <c r="C7" s="112">
        <v>25</v>
      </c>
      <c r="D7" s="113">
        <f>0.7/20*C7</f>
        <v>0.87499999999999989</v>
      </c>
      <c r="E7" s="113">
        <f>0.64/20*C7</f>
        <v>0.8</v>
      </c>
      <c r="F7" s="113">
        <f>3.76/20*C7</f>
        <v>4.7</v>
      </c>
      <c r="G7" s="113">
        <f>24.24/20*C7</f>
        <v>30.3</v>
      </c>
      <c r="H7" s="9"/>
      <c r="I7" s="83"/>
      <c r="J7" s="82"/>
      <c r="K7" s="81"/>
    </row>
    <row r="8" spans="1:11" x14ac:dyDescent="0.25">
      <c r="A8" s="91" t="s">
        <v>28</v>
      </c>
      <c r="B8" s="93" t="s">
        <v>27</v>
      </c>
      <c r="C8" s="91">
        <v>150</v>
      </c>
      <c r="D8" s="92">
        <f>C8*3.5/100</f>
        <v>5.25</v>
      </c>
      <c r="E8" s="92">
        <f>C8*4.1/100</f>
        <v>6.15</v>
      </c>
      <c r="F8" s="92">
        <f>C8*23.5/100</f>
        <v>35.25</v>
      </c>
      <c r="G8" s="92">
        <f>217.35/150*C8</f>
        <v>217.35000000000002</v>
      </c>
      <c r="H8" s="9"/>
      <c r="I8" s="3"/>
      <c r="J8" s="2"/>
      <c r="K8" s="1"/>
    </row>
    <row r="9" spans="1:11" x14ac:dyDescent="0.25">
      <c r="A9" s="112" t="s">
        <v>51</v>
      </c>
      <c r="B9" s="111" t="s">
        <v>30</v>
      </c>
      <c r="C9" s="112">
        <v>100</v>
      </c>
      <c r="D9" s="113">
        <f>C9*17.5/100</f>
        <v>17.5</v>
      </c>
      <c r="E9" s="113">
        <f>C9*16.9/100</f>
        <v>16.899999999999999</v>
      </c>
      <c r="F9" s="113">
        <f>C9*9/100</f>
        <v>9</v>
      </c>
      <c r="G9" s="113">
        <f>227.29/90*C9</f>
        <v>252.54444444444442</v>
      </c>
      <c r="H9" s="9"/>
      <c r="I9" s="3"/>
      <c r="J9" s="2"/>
      <c r="K9" s="8"/>
    </row>
    <row r="10" spans="1:11" x14ac:dyDescent="0.25">
      <c r="A10" s="14" t="s">
        <v>29</v>
      </c>
      <c r="B10" s="15" t="s">
        <v>18</v>
      </c>
      <c r="C10" s="14">
        <v>40</v>
      </c>
      <c r="D10" s="14">
        <f>C10*1.3/50</f>
        <v>1.04</v>
      </c>
      <c r="E10" s="14">
        <f>C10*4.8/50</f>
        <v>3.84</v>
      </c>
      <c r="F10" s="14">
        <f>C10*4.7/50</f>
        <v>3.76</v>
      </c>
      <c r="G10" s="14">
        <f t="shared" ref="G10" si="0">F10*4+E10*9+D10*4</f>
        <v>53.760000000000005</v>
      </c>
      <c r="H10" s="9"/>
      <c r="I10" s="3"/>
      <c r="J10" s="2"/>
      <c r="K10" s="1"/>
    </row>
    <row r="11" spans="1:11" x14ac:dyDescent="0.25">
      <c r="A11" s="14"/>
      <c r="B11" s="15" t="s">
        <v>7</v>
      </c>
      <c r="C11" s="14">
        <v>40</v>
      </c>
      <c r="D11" s="14">
        <f>C11*7.7/100</f>
        <v>3.08</v>
      </c>
      <c r="E11" s="16">
        <f>C11*0.8/100</f>
        <v>0.32</v>
      </c>
      <c r="F11" s="14">
        <f>C11*49.5/100</f>
        <v>19.8</v>
      </c>
      <c r="G11" s="16">
        <f t="shared" ref="G11" si="1">F11*4+E11*9+D11*4</f>
        <v>94.4</v>
      </c>
      <c r="H11" s="9"/>
      <c r="I11" s="3"/>
      <c r="J11" s="2"/>
      <c r="K11" s="1"/>
    </row>
    <row r="12" spans="1:11" x14ac:dyDescent="0.25">
      <c r="A12" s="58" t="s">
        <v>49</v>
      </c>
      <c r="B12" s="27" t="s">
        <v>50</v>
      </c>
      <c r="C12" s="58">
        <v>200</v>
      </c>
      <c r="D12" s="58">
        <f>0.16/200*C12</f>
        <v>0.16</v>
      </c>
      <c r="E12" s="58">
        <f>0.16/200*C12</f>
        <v>0.16</v>
      </c>
      <c r="F12" s="58">
        <f>23.88/200*C12</f>
        <v>23.88</v>
      </c>
      <c r="G12" s="58">
        <f>97.6/200*C12</f>
        <v>97.6</v>
      </c>
      <c r="H12" s="9"/>
      <c r="I12" s="3"/>
      <c r="J12" s="2"/>
      <c r="K12" s="1"/>
    </row>
    <row r="13" spans="1:11" x14ac:dyDescent="0.25">
      <c r="A13" s="166" t="s">
        <v>14</v>
      </c>
      <c r="B13" s="166"/>
      <c r="C13" s="73">
        <f>SUM(C6:C12)</f>
        <v>805</v>
      </c>
      <c r="D13" s="19">
        <f>SUM(D6:D12)</f>
        <v>31.105</v>
      </c>
      <c r="E13" s="18">
        <f>SUM(E6:E12)</f>
        <v>33.719999999999992</v>
      </c>
      <c r="F13" s="18">
        <f>SUM(F6:F12)</f>
        <v>131.52000000000001</v>
      </c>
      <c r="G13" s="19">
        <f>SUM(G6:G12)</f>
        <v>950.28444444444449</v>
      </c>
      <c r="H13" s="9"/>
      <c r="I13" s="3"/>
      <c r="J13" s="2"/>
      <c r="K13" s="1"/>
    </row>
    <row r="14" spans="1:11" x14ac:dyDescent="0.25">
      <c r="A14" s="162"/>
      <c r="B14" s="163"/>
      <c r="C14" s="163"/>
      <c r="D14" s="163"/>
      <c r="E14" s="163"/>
      <c r="F14" s="163"/>
      <c r="G14" s="163"/>
      <c r="H14" s="11"/>
      <c r="I14" s="3"/>
      <c r="J14" s="2"/>
      <c r="K14" s="1"/>
    </row>
  </sheetData>
  <mergeCells count="12">
    <mergeCell ref="A14:G14"/>
    <mergeCell ref="A1:C1"/>
    <mergeCell ref="D1:G1"/>
    <mergeCell ref="D2:G2"/>
    <mergeCell ref="H3:H4"/>
    <mergeCell ref="D3:F3"/>
    <mergeCell ref="G3:G4"/>
    <mergeCell ref="A13:B13"/>
    <mergeCell ref="A3:A4"/>
    <mergeCell ref="B3:B4"/>
    <mergeCell ref="C3:C4"/>
    <mergeCell ref="A5:G5"/>
  </mergeCells>
  <pageMargins left="0.375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Normal="110" zoomScaleSheetLayoutView="100" workbookViewId="0">
      <selection activeCell="D10" sqref="D10"/>
    </sheetView>
  </sheetViews>
  <sheetFormatPr defaultRowHeight="15" x14ac:dyDescent="0.25"/>
  <cols>
    <col min="1" max="1" width="9.85546875" customWidth="1"/>
    <col min="2" max="2" width="27.7109375" customWidth="1"/>
    <col min="3" max="3" width="7" customWidth="1"/>
    <col min="4" max="4" width="6.42578125" customWidth="1"/>
    <col min="5" max="5" width="5.85546875" customWidth="1"/>
    <col min="6" max="6" width="8.140625" customWidth="1"/>
    <col min="7" max="7" width="9.42578125" customWidth="1"/>
  </cols>
  <sheetData>
    <row r="1" spans="1:11" x14ac:dyDescent="0.25">
      <c r="A1" s="168" t="s">
        <v>8</v>
      </c>
      <c r="B1" s="169"/>
      <c r="C1" s="169"/>
      <c r="D1" s="169"/>
      <c r="E1" s="169"/>
      <c r="F1" s="169"/>
      <c r="G1" s="169"/>
      <c r="H1" s="3"/>
      <c r="I1" s="3"/>
      <c r="J1" s="2"/>
      <c r="K1" s="1"/>
    </row>
    <row r="2" spans="1:11" x14ac:dyDescent="0.25">
      <c r="A2" s="112" t="s">
        <v>9</v>
      </c>
      <c r="B2" s="125" t="s">
        <v>60</v>
      </c>
      <c r="C2" s="56">
        <v>250</v>
      </c>
      <c r="D2" s="56">
        <f>6.52/250*C2</f>
        <v>6.52</v>
      </c>
      <c r="E2" s="56">
        <f>10.4/250*C2</f>
        <v>10.4</v>
      </c>
      <c r="F2" s="56">
        <f>13.9/250*C2</f>
        <v>13.9</v>
      </c>
      <c r="G2" s="56">
        <f>218.88/250*C2</f>
        <v>218.88</v>
      </c>
      <c r="H2" s="3"/>
      <c r="I2" s="3"/>
      <c r="J2" s="2"/>
      <c r="K2" s="1"/>
    </row>
    <row r="3" spans="1:11" x14ac:dyDescent="0.25">
      <c r="A3" s="61" t="s">
        <v>51</v>
      </c>
      <c r="B3" s="62" t="s">
        <v>71</v>
      </c>
      <c r="C3" s="61">
        <v>100</v>
      </c>
      <c r="D3" s="63">
        <f>5.98/100*C3</f>
        <v>5.98</v>
      </c>
      <c r="E3" s="63">
        <f>8.97/100*C3</f>
        <v>8.9700000000000006</v>
      </c>
      <c r="F3" s="63">
        <f>21.3/100*C3</f>
        <v>21.3</v>
      </c>
      <c r="G3" s="63">
        <f>173.4/100*C3</f>
        <v>173.4</v>
      </c>
      <c r="H3" s="3"/>
      <c r="I3" s="3"/>
      <c r="J3" s="2"/>
      <c r="K3" s="1"/>
    </row>
    <row r="4" spans="1:11" x14ac:dyDescent="0.25">
      <c r="A4" s="59" t="s">
        <v>51</v>
      </c>
      <c r="B4" s="60" t="s">
        <v>72</v>
      </c>
      <c r="C4" s="59">
        <v>210</v>
      </c>
      <c r="D4" s="51">
        <f>8.96/150*C4</f>
        <v>12.544</v>
      </c>
      <c r="E4" s="51">
        <f>7.2/150*C4</f>
        <v>10.08</v>
      </c>
      <c r="F4" s="135">
        <f>28.99/150*C4</f>
        <v>40.585999999999999</v>
      </c>
      <c r="G4" s="51">
        <f>206.4/150*C4</f>
        <v>288.96000000000004</v>
      </c>
      <c r="H4" s="3"/>
      <c r="I4" s="3"/>
      <c r="J4" s="2"/>
      <c r="K4" s="1"/>
    </row>
    <row r="5" spans="1:11" x14ac:dyDescent="0.25">
      <c r="A5" s="53"/>
      <c r="B5" s="46" t="s">
        <v>7</v>
      </c>
      <c r="C5" s="53">
        <v>60</v>
      </c>
      <c r="D5" s="53">
        <f>C5*7.7/100</f>
        <v>4.62</v>
      </c>
      <c r="E5" s="54">
        <f>C5*0.8/100</f>
        <v>0.48</v>
      </c>
      <c r="F5" s="53">
        <f>C5*49.5/100</f>
        <v>29.7</v>
      </c>
      <c r="G5" s="54">
        <f t="shared" ref="G5" si="0">F5*4+E5*9+D5*4</f>
        <v>141.6</v>
      </c>
      <c r="H5" s="3"/>
      <c r="I5" s="3"/>
      <c r="J5" s="2"/>
      <c r="K5" s="1"/>
    </row>
    <row r="6" spans="1:11" x14ac:dyDescent="0.25">
      <c r="A6" s="14" t="s">
        <v>23</v>
      </c>
      <c r="B6" s="15" t="s">
        <v>13</v>
      </c>
      <c r="C6" s="14">
        <v>200</v>
      </c>
      <c r="D6" s="14">
        <f>0.6/200*C6</f>
        <v>0.6</v>
      </c>
      <c r="E6" s="14">
        <f>0/200*C6</f>
        <v>0</v>
      </c>
      <c r="F6" s="14">
        <f>31.4/200*C6</f>
        <v>31.4</v>
      </c>
      <c r="G6" s="14">
        <f>128/200*C6</f>
        <v>128</v>
      </c>
      <c r="H6" s="3"/>
      <c r="I6" s="3"/>
      <c r="J6" s="2"/>
      <c r="K6" s="1"/>
    </row>
    <row r="7" spans="1:11" x14ac:dyDescent="0.25">
      <c r="A7" s="143" t="s">
        <v>14</v>
      </c>
      <c r="B7" s="144"/>
      <c r="C7" s="72">
        <f>SUM(C2:C6)</f>
        <v>820</v>
      </c>
      <c r="D7" s="19">
        <f>SUM(D2:D6)</f>
        <v>30.264000000000003</v>
      </c>
      <c r="E7" s="19">
        <f>SUM(E2:E6)</f>
        <v>29.930000000000003</v>
      </c>
      <c r="F7" s="19">
        <f>SUM(F2:F6)</f>
        <v>136.886</v>
      </c>
      <c r="G7" s="19">
        <f>SUM(G2:G6)</f>
        <v>950.84</v>
      </c>
      <c r="H7" s="3"/>
      <c r="I7" s="3"/>
      <c r="J7" s="2"/>
      <c r="K7" s="1"/>
    </row>
    <row r="8" spans="1:11" x14ac:dyDescent="0.25">
      <c r="A8" s="141"/>
      <c r="B8" s="142"/>
      <c r="C8" s="142"/>
      <c r="D8" s="142"/>
      <c r="E8" s="142"/>
      <c r="F8" s="142"/>
      <c r="G8" s="142"/>
      <c r="H8" s="3"/>
      <c r="I8" s="3"/>
      <c r="J8" s="2"/>
      <c r="K8" s="1"/>
    </row>
  </sheetData>
  <mergeCells count="3">
    <mergeCell ref="A1:G1"/>
    <mergeCell ref="A7:B7"/>
    <mergeCell ref="A8:G8"/>
  </mergeCells>
  <pageMargins left="0.7" right="0.7" top="0.75" bottom="0.75" header="0.3" footer="0.3"/>
  <pageSetup paperSize="9" scale="97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10" zoomScaleSheetLayoutView="100" workbookViewId="0">
      <selection activeCell="C29" sqref="C29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11" ht="15.75" x14ac:dyDescent="0.25">
      <c r="A1" s="146"/>
      <c r="B1" s="146"/>
      <c r="C1" s="146"/>
      <c r="D1" s="147"/>
      <c r="E1" s="147"/>
      <c r="F1" s="147"/>
      <c r="G1" s="147"/>
    </row>
    <row r="2" spans="1:11" ht="15.75" x14ac:dyDescent="0.25">
      <c r="A2" s="140" t="s">
        <v>69</v>
      </c>
      <c r="B2" s="67"/>
      <c r="C2" s="68"/>
      <c r="D2" s="148" t="s">
        <v>37</v>
      </c>
      <c r="E2" s="148"/>
      <c r="F2" s="148"/>
      <c r="G2" s="148"/>
    </row>
    <row r="3" spans="1:11" ht="18" customHeight="1" x14ac:dyDescent="0.25">
      <c r="A3" s="149" t="s">
        <v>0</v>
      </c>
      <c r="B3" s="149" t="s">
        <v>1</v>
      </c>
      <c r="C3" s="151" t="s">
        <v>2</v>
      </c>
      <c r="D3" s="153" t="s">
        <v>6</v>
      </c>
      <c r="E3" s="154"/>
      <c r="F3" s="155"/>
      <c r="G3" s="151" t="s">
        <v>46</v>
      </c>
      <c r="H3" s="12"/>
      <c r="I3" s="2"/>
      <c r="J3" s="2"/>
      <c r="K3" s="1"/>
    </row>
    <row r="4" spans="1:11" x14ac:dyDescent="0.25">
      <c r="A4" s="150"/>
      <c r="B4" s="150"/>
      <c r="C4" s="152"/>
      <c r="D4" s="13" t="s">
        <v>3</v>
      </c>
      <c r="E4" s="13" t="s">
        <v>4</v>
      </c>
      <c r="F4" s="13" t="s">
        <v>5</v>
      </c>
      <c r="G4" s="152"/>
      <c r="H4" s="12"/>
      <c r="I4" s="2"/>
      <c r="J4" s="2"/>
      <c r="K4" s="1"/>
    </row>
    <row r="5" spans="1:11" x14ac:dyDescent="0.25">
      <c r="A5" s="143" t="s">
        <v>8</v>
      </c>
      <c r="B5" s="145"/>
      <c r="C5" s="145"/>
      <c r="D5" s="145"/>
      <c r="E5" s="145"/>
      <c r="F5" s="145"/>
      <c r="G5" s="145"/>
      <c r="H5" s="9"/>
      <c r="I5" s="3"/>
      <c r="J5" s="2"/>
      <c r="K5" s="1"/>
    </row>
    <row r="6" spans="1:11" x14ac:dyDescent="0.25">
      <c r="A6" s="14"/>
      <c r="H6" s="9"/>
      <c r="I6" s="3"/>
      <c r="J6" s="2"/>
      <c r="K6" s="1"/>
    </row>
    <row r="7" spans="1:11" ht="25.5" x14ac:dyDescent="0.25">
      <c r="A7" s="14" t="s">
        <v>51</v>
      </c>
      <c r="B7" s="20" t="s">
        <v>67</v>
      </c>
      <c r="C7" s="14">
        <v>250</v>
      </c>
      <c r="D7" s="16">
        <f>6.62/250*C7</f>
        <v>6.62</v>
      </c>
      <c r="E7" s="16">
        <f>5.7/250*C7</f>
        <v>5.7</v>
      </c>
      <c r="F7" s="16">
        <f>21/250*C7</f>
        <v>21</v>
      </c>
      <c r="G7" s="16">
        <f>141.7/250*C7</f>
        <v>141.69999999999999</v>
      </c>
      <c r="H7" s="9"/>
      <c r="I7" s="3"/>
      <c r="J7" s="2"/>
      <c r="K7" s="8"/>
    </row>
    <row r="8" spans="1:11" x14ac:dyDescent="0.25">
      <c r="A8" s="89" t="s">
        <v>51</v>
      </c>
      <c r="B8" s="88" t="s">
        <v>55</v>
      </c>
      <c r="C8" s="89">
        <v>200</v>
      </c>
      <c r="D8" s="136">
        <f>20.25/250*C8</f>
        <v>16.2</v>
      </c>
      <c r="E8" s="136">
        <f>22.56/250*C8</f>
        <v>18.048000000000002</v>
      </c>
      <c r="F8" s="136">
        <f>56.76/250*C8</f>
        <v>45.408000000000001</v>
      </c>
      <c r="G8" s="136">
        <f>510.72/250*C8</f>
        <v>408.57600000000002</v>
      </c>
      <c r="H8" s="9"/>
      <c r="I8" s="3"/>
      <c r="J8" s="2"/>
      <c r="K8" s="1"/>
    </row>
    <row r="9" spans="1:11" x14ac:dyDescent="0.25">
      <c r="A9" s="44" t="s">
        <v>53</v>
      </c>
      <c r="B9" s="43" t="s">
        <v>44</v>
      </c>
      <c r="C9" s="41">
        <v>100</v>
      </c>
      <c r="D9" s="45">
        <v>2.8</v>
      </c>
      <c r="E9" s="42">
        <v>6</v>
      </c>
      <c r="F9" s="42">
        <v>4.2</v>
      </c>
      <c r="G9" s="42">
        <v>94</v>
      </c>
      <c r="H9" s="9"/>
      <c r="I9" s="3"/>
      <c r="J9" s="2"/>
      <c r="K9" s="1"/>
    </row>
    <row r="10" spans="1:11" x14ac:dyDescent="0.25">
      <c r="A10" s="14"/>
      <c r="B10" s="15" t="s">
        <v>7</v>
      </c>
      <c r="C10" s="14">
        <v>40</v>
      </c>
      <c r="D10" s="14">
        <f>C10*7.7/100</f>
        <v>3.08</v>
      </c>
      <c r="E10" s="16">
        <f>C10*0.8/100</f>
        <v>0.32</v>
      </c>
      <c r="F10" s="14">
        <f>C10*49.5/100</f>
        <v>19.8</v>
      </c>
      <c r="G10" s="16">
        <f>F10*4+E10*9+D10*4</f>
        <v>94.4</v>
      </c>
      <c r="H10" s="9"/>
      <c r="I10" s="3"/>
      <c r="J10" s="2"/>
      <c r="K10" s="1"/>
    </row>
    <row r="11" spans="1:11" x14ac:dyDescent="0.25">
      <c r="A11" s="14"/>
      <c r="B11" s="15" t="s">
        <v>12</v>
      </c>
      <c r="C11" s="14">
        <v>40</v>
      </c>
      <c r="D11" s="14">
        <f>C11*6.6/100</f>
        <v>2.64</v>
      </c>
      <c r="E11" s="14">
        <f>C11*1.1/100</f>
        <v>0.44</v>
      </c>
      <c r="F11" s="14">
        <f>C11*43.9/100</f>
        <v>17.559999999999999</v>
      </c>
      <c r="G11" s="14">
        <f>F11*4+E11*9+D11*4</f>
        <v>84.759999999999991</v>
      </c>
      <c r="H11" s="9"/>
      <c r="I11" s="3"/>
      <c r="J11" s="2"/>
      <c r="K11" s="1"/>
    </row>
    <row r="12" spans="1:11" x14ac:dyDescent="0.25">
      <c r="A12" s="14" t="s">
        <v>23</v>
      </c>
      <c r="B12" s="15" t="s">
        <v>13</v>
      </c>
      <c r="C12" s="112">
        <v>200</v>
      </c>
      <c r="D12" s="113">
        <f>0.6/200*C12</f>
        <v>0.6</v>
      </c>
      <c r="E12" s="114">
        <f>0/200*C12</f>
        <v>0</v>
      </c>
      <c r="F12" s="113">
        <f>31.4/200*C12</f>
        <v>31.4</v>
      </c>
      <c r="G12" s="114">
        <f>128/200*C12</f>
        <v>128</v>
      </c>
      <c r="H12" s="9"/>
      <c r="I12" s="3"/>
      <c r="J12" s="2"/>
      <c r="K12" s="1"/>
    </row>
    <row r="13" spans="1:11" x14ac:dyDescent="0.25">
      <c r="A13" s="143" t="s">
        <v>14</v>
      </c>
      <c r="B13" s="144"/>
      <c r="C13" s="73">
        <f t="shared" ref="C13:G13" si="0">SUM(C7:C12)</f>
        <v>830</v>
      </c>
      <c r="D13" s="19">
        <f t="shared" si="0"/>
        <v>31.940000000000005</v>
      </c>
      <c r="E13" s="19">
        <f t="shared" si="0"/>
        <v>30.508000000000003</v>
      </c>
      <c r="F13" s="19">
        <f t="shared" si="0"/>
        <v>139.36799999999999</v>
      </c>
      <c r="G13" s="19">
        <f t="shared" si="0"/>
        <v>951.43600000000004</v>
      </c>
      <c r="H13" s="9"/>
      <c r="I13" s="3"/>
      <c r="J13" s="2"/>
      <c r="K13" s="1"/>
    </row>
    <row r="14" spans="1:11" x14ac:dyDescent="0.25">
      <c r="A14" s="141"/>
      <c r="B14" s="142"/>
      <c r="C14" s="142"/>
      <c r="D14" s="142"/>
      <c r="E14" s="142"/>
      <c r="F14" s="142"/>
      <c r="G14" s="142"/>
      <c r="H14" s="9"/>
      <c r="I14" s="3"/>
      <c r="J14" s="2"/>
      <c r="K14" s="1"/>
    </row>
  </sheetData>
  <mergeCells count="11">
    <mergeCell ref="A5:G5"/>
    <mergeCell ref="A13:B13"/>
    <mergeCell ref="A14:G14"/>
    <mergeCell ref="G3:G4"/>
    <mergeCell ref="A1:C1"/>
    <mergeCell ref="D1:G1"/>
    <mergeCell ref="D2:G2"/>
    <mergeCell ref="A3:A4"/>
    <mergeCell ref="B3:B4"/>
    <mergeCell ref="C3:C4"/>
    <mergeCell ref="D3:F3"/>
  </mergeCells>
  <pageMargins left="0.5208333333333333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10" zoomScaleSheetLayoutView="100" workbookViewId="0">
      <selection activeCell="F9" sqref="F9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8" x14ac:dyDescent="0.25">
      <c r="A1" s="143" t="s">
        <v>8</v>
      </c>
      <c r="B1" s="145"/>
      <c r="C1" s="145"/>
      <c r="D1" s="145"/>
      <c r="E1" s="145"/>
      <c r="F1" s="145"/>
      <c r="G1" s="145"/>
      <c r="H1" s="3"/>
    </row>
    <row r="2" spans="1:8" x14ac:dyDescent="0.25">
      <c r="A2" s="101" t="s">
        <v>40</v>
      </c>
      <c r="B2" s="102" t="s">
        <v>41</v>
      </c>
      <c r="C2" s="101">
        <v>250</v>
      </c>
      <c r="D2" s="101">
        <f>4.2/250*C2</f>
        <v>4.2</v>
      </c>
      <c r="E2" s="101">
        <f>10.78/250*C2</f>
        <v>10.78</v>
      </c>
      <c r="F2" s="101">
        <f>17.38/250*C2</f>
        <v>17.38</v>
      </c>
      <c r="G2" s="101">
        <v>127</v>
      </c>
      <c r="H2" s="3"/>
    </row>
    <row r="3" spans="1:8" s="138" customFormat="1" x14ac:dyDescent="0.25">
      <c r="A3" s="110" t="s">
        <v>51</v>
      </c>
      <c r="B3" s="116" t="s">
        <v>56</v>
      </c>
      <c r="C3" s="110">
        <v>180</v>
      </c>
      <c r="D3" s="120">
        <f>2.7/200*C3</f>
        <v>2.4300000000000002</v>
      </c>
      <c r="E3" s="120">
        <f>4.48/200*C3</f>
        <v>4.0320000000000009</v>
      </c>
      <c r="F3" s="120">
        <f>70.6/200*C3</f>
        <v>63.54</v>
      </c>
      <c r="G3" s="120">
        <f>291.2/200*C3</f>
        <v>262.08</v>
      </c>
      <c r="H3" s="137"/>
    </row>
    <row r="4" spans="1:8" s="138" customFormat="1" x14ac:dyDescent="0.25">
      <c r="A4" s="110" t="s">
        <v>51</v>
      </c>
      <c r="B4" s="116" t="s">
        <v>57</v>
      </c>
      <c r="C4" s="110">
        <v>100</v>
      </c>
      <c r="D4" s="120">
        <f>14.8/100*C4</f>
        <v>14.800000000000002</v>
      </c>
      <c r="E4" s="120">
        <f>16.65/100*C4</f>
        <v>16.649999999999999</v>
      </c>
      <c r="F4" s="120">
        <f>10.82/100*C4</f>
        <v>10.82</v>
      </c>
      <c r="G4" s="120">
        <f>262.3/100*C4</f>
        <v>262.3</v>
      </c>
      <c r="H4" s="137"/>
    </row>
    <row r="5" spans="1:8" x14ac:dyDescent="0.25">
      <c r="A5" s="14" t="s">
        <v>29</v>
      </c>
      <c r="B5" s="15" t="s">
        <v>18</v>
      </c>
      <c r="C5" s="14">
        <v>50</v>
      </c>
      <c r="D5" s="14">
        <f>C5*1.3/50</f>
        <v>1.3</v>
      </c>
      <c r="E5" s="14">
        <f>C5*4.8/50</f>
        <v>4.8</v>
      </c>
      <c r="F5" s="14">
        <f>C5*4.7/50</f>
        <v>4.7</v>
      </c>
      <c r="G5" s="14">
        <f t="shared" ref="G5" si="0">F5*4+E5*9+D5*4</f>
        <v>67.2</v>
      </c>
      <c r="H5" s="3"/>
    </row>
    <row r="6" spans="1:8" x14ac:dyDescent="0.25">
      <c r="A6" s="14"/>
      <c r="B6" s="15" t="s">
        <v>7</v>
      </c>
      <c r="C6" s="14">
        <v>30</v>
      </c>
      <c r="D6" s="14">
        <f>C6*7.7/100</f>
        <v>2.31</v>
      </c>
      <c r="E6" s="16">
        <f>C6*0.8/100</f>
        <v>0.24</v>
      </c>
      <c r="F6" s="14">
        <f>C6*49.5/100</f>
        <v>14.85</v>
      </c>
      <c r="G6" s="16">
        <f>F6*4+E6*9+D6*4</f>
        <v>70.8</v>
      </c>
      <c r="H6" s="3"/>
    </row>
    <row r="7" spans="1:8" x14ac:dyDescent="0.25">
      <c r="A7" s="14"/>
      <c r="B7" s="15" t="s">
        <v>12</v>
      </c>
      <c r="C7" s="14">
        <v>30</v>
      </c>
      <c r="D7" s="14">
        <f>C7*6.6/100</f>
        <v>1.98</v>
      </c>
      <c r="E7" s="14">
        <f>C7*1.1/100</f>
        <v>0.33</v>
      </c>
      <c r="F7" s="14">
        <f>C7*43.9/100</f>
        <v>13.17</v>
      </c>
      <c r="G7" s="14">
        <f>F7*4+E7*9+D7*4</f>
        <v>63.57</v>
      </c>
      <c r="H7" s="3"/>
    </row>
    <row r="8" spans="1:8" x14ac:dyDescent="0.25">
      <c r="A8" s="112" t="s">
        <v>22</v>
      </c>
      <c r="B8" s="111" t="s">
        <v>21</v>
      </c>
      <c r="C8" s="112">
        <v>200</v>
      </c>
      <c r="D8" s="113">
        <v>3.8719999999999999</v>
      </c>
      <c r="E8" s="113">
        <v>3.8000000000000003</v>
      </c>
      <c r="F8" s="113">
        <v>13.092000000000001</v>
      </c>
      <c r="G8" s="113">
        <v>101.88</v>
      </c>
      <c r="H8" s="3"/>
    </row>
    <row r="9" spans="1:8" x14ac:dyDescent="0.25">
      <c r="A9" s="143" t="s">
        <v>14</v>
      </c>
      <c r="B9" s="144"/>
      <c r="C9" s="72">
        <f t="shared" ref="C9:F9" si="1">SUM(C2:C8)</f>
        <v>840</v>
      </c>
      <c r="D9" s="19">
        <f t="shared" si="1"/>
        <v>30.892000000000003</v>
      </c>
      <c r="E9" s="19">
        <f t="shared" si="1"/>
        <v>40.631999999999998</v>
      </c>
      <c r="F9" s="19">
        <f t="shared" si="1"/>
        <v>137.55200000000002</v>
      </c>
      <c r="G9" s="19">
        <f>SUM(G2:G8)</f>
        <v>954.83</v>
      </c>
      <c r="H9" s="3"/>
    </row>
    <row r="10" spans="1:8" x14ac:dyDescent="0.25">
      <c r="A10" s="141"/>
      <c r="B10" s="142"/>
      <c r="C10" s="142"/>
      <c r="D10" s="142"/>
      <c r="E10" s="142"/>
      <c r="F10" s="142"/>
      <c r="G10" s="142"/>
      <c r="H10" s="3"/>
    </row>
    <row r="20" spans="2:8" x14ac:dyDescent="0.25">
      <c r="B20" s="3"/>
      <c r="C20" s="4"/>
      <c r="D20" s="3"/>
      <c r="E20" s="5"/>
      <c r="F20" s="5"/>
      <c r="G20" s="3"/>
      <c r="H20" s="5"/>
    </row>
  </sheetData>
  <mergeCells count="3">
    <mergeCell ref="A1:G1"/>
    <mergeCell ref="A9:B9"/>
    <mergeCell ref="A10:G10"/>
  </mergeCells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Normal="110" zoomScaleSheetLayoutView="100" workbookViewId="0">
      <selection activeCell="E18" sqref="E18"/>
    </sheetView>
  </sheetViews>
  <sheetFormatPr defaultRowHeight="15" x14ac:dyDescent="0.25"/>
  <cols>
    <col min="1" max="1" width="9.85546875" customWidth="1"/>
    <col min="2" max="2" width="29" customWidth="1"/>
    <col min="3" max="3" width="6.7109375" customWidth="1"/>
    <col min="4" max="4" width="7.7109375" customWidth="1"/>
    <col min="5" max="5" width="7" customWidth="1"/>
    <col min="6" max="6" width="8.5703125" customWidth="1"/>
    <col min="7" max="7" width="8.85546875" customWidth="1"/>
    <col min="8" max="8" width="9" customWidth="1"/>
    <col min="9" max="10" width="9.140625" hidden="1" customWidth="1"/>
  </cols>
  <sheetData>
    <row r="1" spans="1:11" x14ac:dyDescent="0.25">
      <c r="A1" s="143" t="s">
        <v>8</v>
      </c>
      <c r="B1" s="145"/>
      <c r="C1" s="145"/>
      <c r="D1" s="145"/>
      <c r="E1" s="145"/>
      <c r="F1" s="145"/>
      <c r="G1" s="145"/>
      <c r="H1" s="3"/>
      <c r="I1" s="3"/>
      <c r="J1" s="2"/>
      <c r="K1" s="1"/>
    </row>
    <row r="2" spans="1:11" x14ac:dyDescent="0.25">
      <c r="A2" s="14" t="s">
        <v>33</v>
      </c>
      <c r="B2" s="15" t="s">
        <v>32</v>
      </c>
      <c r="C2" s="14">
        <v>100</v>
      </c>
      <c r="D2" s="16">
        <f>C2*11.8/100</f>
        <v>11.8</v>
      </c>
      <c r="E2" s="16">
        <f>C2*5/100</f>
        <v>5</v>
      </c>
      <c r="F2" s="16">
        <f>C2*27.9/100</f>
        <v>27.9</v>
      </c>
      <c r="G2" s="16">
        <v>42.78</v>
      </c>
      <c r="H2" s="3"/>
      <c r="I2" s="3"/>
      <c r="J2" s="2"/>
      <c r="K2" s="1"/>
    </row>
    <row r="3" spans="1:11" x14ac:dyDescent="0.25">
      <c r="A3" s="14" t="s">
        <v>24</v>
      </c>
      <c r="B3" s="107" t="s">
        <v>59</v>
      </c>
      <c r="C3" s="14">
        <v>250</v>
      </c>
      <c r="D3" s="16">
        <f>C3*1.17/100</f>
        <v>2.9249999999999998</v>
      </c>
      <c r="E3" s="16">
        <f>C3*2.05/100</f>
        <v>5.125</v>
      </c>
      <c r="F3" s="16">
        <f>C3*9.94/100</f>
        <v>24.85</v>
      </c>
      <c r="G3" s="16">
        <f t="shared" ref="G3:G6" si="0">F3*4+E3*9+D3*4</f>
        <v>157.22499999999999</v>
      </c>
      <c r="H3" s="3"/>
      <c r="I3" s="3"/>
      <c r="J3" s="2"/>
      <c r="K3" s="1"/>
    </row>
    <row r="4" spans="1:11" x14ac:dyDescent="0.25">
      <c r="A4" s="14" t="s">
        <v>11</v>
      </c>
      <c r="B4" s="20" t="s">
        <v>10</v>
      </c>
      <c r="C4" s="14">
        <v>200</v>
      </c>
      <c r="D4" s="16">
        <f>C4*2.1/100</f>
        <v>4.2</v>
      </c>
      <c r="E4" s="16">
        <f>C4*4.5/100</f>
        <v>9</v>
      </c>
      <c r="F4" s="16">
        <f>C4*14.6/100</f>
        <v>29.2</v>
      </c>
      <c r="G4" s="16">
        <v>214.56</v>
      </c>
      <c r="H4" s="3"/>
      <c r="I4" s="3"/>
      <c r="J4" s="2"/>
      <c r="K4" s="1"/>
    </row>
    <row r="5" spans="1:11" x14ac:dyDescent="0.25">
      <c r="A5" s="14" t="s">
        <v>51</v>
      </c>
      <c r="B5" s="15" t="s">
        <v>61</v>
      </c>
      <c r="C5" s="14">
        <v>100</v>
      </c>
      <c r="D5" s="16">
        <f>12.91/100*C5</f>
        <v>12.91</v>
      </c>
      <c r="E5" s="16">
        <f>14.158/100*C5</f>
        <v>14.157999999999998</v>
      </c>
      <c r="F5" s="16">
        <f>29.938/100*C5</f>
        <v>29.937999999999999</v>
      </c>
      <c r="G5" s="16">
        <f>380.54/100*C5</f>
        <v>380.54</v>
      </c>
      <c r="H5" s="3"/>
      <c r="I5" s="3"/>
      <c r="J5" s="2"/>
      <c r="K5" s="1"/>
    </row>
    <row r="6" spans="1:11" x14ac:dyDescent="0.25">
      <c r="A6" s="14"/>
      <c r="B6" s="15" t="s">
        <v>7</v>
      </c>
      <c r="C6" s="14">
        <v>35</v>
      </c>
      <c r="D6" s="14">
        <f>C6*7.7/100</f>
        <v>2.6949999999999998</v>
      </c>
      <c r="E6" s="16">
        <f>C6*0.8/100</f>
        <v>0.28000000000000003</v>
      </c>
      <c r="F6" s="14">
        <f>C6*49.5/100</f>
        <v>17.324999999999999</v>
      </c>
      <c r="G6" s="16">
        <f t="shared" si="0"/>
        <v>82.6</v>
      </c>
      <c r="H6" s="3"/>
      <c r="I6" s="3"/>
      <c r="J6" s="2"/>
      <c r="K6" s="1"/>
    </row>
    <row r="7" spans="1:11" x14ac:dyDescent="0.25">
      <c r="A7" s="14" t="s">
        <v>35</v>
      </c>
      <c r="B7" s="15" t="s">
        <v>34</v>
      </c>
      <c r="C7" s="44">
        <v>200</v>
      </c>
      <c r="D7" s="45">
        <f>0.4/200*C7</f>
        <v>0.4</v>
      </c>
      <c r="E7" s="45">
        <f>0.27/200*C7</f>
        <v>0.27</v>
      </c>
      <c r="F7" s="45">
        <f>17.2/200*C7</f>
        <v>17.2</v>
      </c>
      <c r="G7" s="45">
        <f>72.83/200*C7</f>
        <v>72.83</v>
      </c>
      <c r="H7" s="3"/>
      <c r="I7" s="3"/>
      <c r="J7" s="2"/>
      <c r="K7" s="1"/>
    </row>
    <row r="8" spans="1:11" x14ac:dyDescent="0.25">
      <c r="A8" s="143" t="s">
        <v>14</v>
      </c>
      <c r="B8" s="144"/>
      <c r="C8" s="72">
        <f t="shared" ref="C8:E8" si="1">SUM(C2:C7)</f>
        <v>885</v>
      </c>
      <c r="D8" s="19">
        <f t="shared" si="1"/>
        <v>34.93</v>
      </c>
      <c r="E8" s="19">
        <f t="shared" si="1"/>
        <v>33.833000000000006</v>
      </c>
      <c r="F8" s="19">
        <f>SUM(F2:F7)</f>
        <v>146.41299999999998</v>
      </c>
      <c r="G8" s="19">
        <f>SUM(G2:G7)</f>
        <v>950.53500000000008</v>
      </c>
      <c r="H8" s="3"/>
      <c r="I8" s="3"/>
      <c r="J8" s="2"/>
      <c r="K8" s="1"/>
    </row>
    <row r="9" spans="1:11" x14ac:dyDescent="0.25">
      <c r="A9" s="141"/>
      <c r="B9" s="142"/>
      <c r="C9" s="142"/>
      <c r="D9" s="142"/>
      <c r="E9" s="142"/>
      <c r="F9" s="142"/>
      <c r="G9" s="142"/>
      <c r="H9" s="3"/>
      <c r="I9" s="3"/>
      <c r="J9" s="2"/>
      <c r="K9" s="1"/>
    </row>
  </sheetData>
  <mergeCells count="3">
    <mergeCell ref="A1:G1"/>
    <mergeCell ref="A8:B8"/>
    <mergeCell ref="A9:G9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Normal="110" zoomScaleSheetLayoutView="100" workbookViewId="0">
      <selection activeCell="G5" sqref="G5"/>
    </sheetView>
  </sheetViews>
  <sheetFormatPr defaultRowHeight="15" x14ac:dyDescent="0.25"/>
  <cols>
    <col min="1" max="1" width="9.85546875" customWidth="1"/>
    <col min="2" max="2" width="25.7109375" customWidth="1"/>
    <col min="3" max="3" width="8" customWidth="1"/>
    <col min="4" max="4" width="7.7109375" customWidth="1"/>
    <col min="5" max="5" width="7" customWidth="1"/>
    <col min="7" max="7" width="10.140625" customWidth="1"/>
  </cols>
  <sheetData>
    <row r="1" spans="1:10" x14ac:dyDescent="0.25">
      <c r="A1" s="168" t="s">
        <v>8</v>
      </c>
      <c r="B1" s="169"/>
      <c r="C1" s="169"/>
      <c r="D1" s="169"/>
      <c r="E1" s="169"/>
      <c r="F1" s="169"/>
      <c r="G1" s="169"/>
      <c r="H1" s="3"/>
      <c r="I1" s="2"/>
      <c r="J1" s="1"/>
    </row>
    <row r="2" spans="1:10" s="100" customFormat="1" x14ac:dyDescent="0.25">
      <c r="A2" s="90"/>
      <c r="B2" s="97" t="s">
        <v>68</v>
      </c>
      <c r="C2" s="98">
        <v>70</v>
      </c>
      <c r="D2" s="99">
        <f>0.44/30*C2</f>
        <v>1.0266666666666666</v>
      </c>
      <c r="E2" s="99">
        <f>2.84/30*C2</f>
        <v>6.626666666666666</v>
      </c>
      <c r="F2" s="99">
        <f>3/30*C2</f>
        <v>7</v>
      </c>
      <c r="G2" s="99">
        <f>34.1/30*C2</f>
        <v>79.566666666666663</v>
      </c>
      <c r="H2" s="35"/>
      <c r="I2" s="36"/>
    </row>
    <row r="3" spans="1:10" ht="25.5" x14ac:dyDescent="0.25">
      <c r="A3" s="87" t="s">
        <v>26</v>
      </c>
      <c r="B3" s="32" t="s">
        <v>25</v>
      </c>
      <c r="C3" s="124">
        <v>250</v>
      </c>
      <c r="D3" s="56">
        <f>5.72/200*C3</f>
        <v>7.15</v>
      </c>
      <c r="E3" s="56">
        <f>7.5/200*C3</f>
        <v>9.375</v>
      </c>
      <c r="F3" s="57">
        <f>10/200*C3</f>
        <v>12.5</v>
      </c>
      <c r="G3" s="56">
        <f>131.6/200*C3</f>
        <v>164.49999999999997</v>
      </c>
      <c r="H3" s="3"/>
      <c r="I3" s="2"/>
      <c r="J3" s="1"/>
    </row>
    <row r="4" spans="1:10" ht="25.5" x14ac:dyDescent="0.25">
      <c r="A4" s="103" t="s">
        <v>51</v>
      </c>
      <c r="B4" s="27" t="s">
        <v>43</v>
      </c>
      <c r="C4" s="115">
        <v>200</v>
      </c>
      <c r="D4" s="78">
        <f>14.6/230*C4</f>
        <v>12.695652173913045</v>
      </c>
      <c r="E4" s="78">
        <f>18.1/230*C4</f>
        <v>15.739130434782611</v>
      </c>
      <c r="F4" s="78">
        <f>57.26/230*C4</f>
        <v>49.791304347826085</v>
      </c>
      <c r="G4" s="78">
        <f>462.47/230*C4</f>
        <v>402.14782608695651</v>
      </c>
      <c r="H4" s="3"/>
      <c r="I4" s="2"/>
      <c r="J4" s="1"/>
    </row>
    <row r="5" spans="1:10" x14ac:dyDescent="0.25">
      <c r="A5" s="14"/>
      <c r="B5" s="15" t="s">
        <v>7</v>
      </c>
      <c r="C5" s="64">
        <v>40</v>
      </c>
      <c r="D5" s="64">
        <f>C5*7.7/100</f>
        <v>3.08</v>
      </c>
      <c r="E5" s="66">
        <f>C5*0.8/100</f>
        <v>0.32</v>
      </c>
      <c r="F5" s="64">
        <f>C5*49.5/100</f>
        <v>19.8</v>
      </c>
      <c r="G5" s="66">
        <f t="shared" ref="G5:G6" si="0">F5*4+E5*9+D5*4</f>
        <v>94.4</v>
      </c>
      <c r="H5" s="3"/>
      <c r="I5" s="2"/>
      <c r="J5" s="1"/>
    </row>
    <row r="6" spans="1:10" x14ac:dyDescent="0.25">
      <c r="A6" s="14"/>
      <c r="B6" s="15" t="s">
        <v>12</v>
      </c>
      <c r="C6" s="14">
        <v>40</v>
      </c>
      <c r="D6" s="14">
        <f>C6*6.6/100</f>
        <v>2.64</v>
      </c>
      <c r="E6" s="14">
        <f>C6*1.1/100</f>
        <v>0.44</v>
      </c>
      <c r="F6" s="14">
        <f>C6*43.9/100</f>
        <v>17.559999999999999</v>
      </c>
      <c r="G6" s="14">
        <f t="shared" si="0"/>
        <v>84.759999999999991</v>
      </c>
      <c r="H6" s="3"/>
      <c r="I6" s="2"/>
      <c r="J6" s="1"/>
    </row>
    <row r="7" spans="1:10" x14ac:dyDescent="0.25">
      <c r="A7" s="64" t="s">
        <v>23</v>
      </c>
      <c r="B7" s="65" t="s">
        <v>13</v>
      </c>
      <c r="C7" s="112">
        <v>200</v>
      </c>
      <c r="D7" s="113">
        <f>0.6/200*C7</f>
        <v>0.6</v>
      </c>
      <c r="E7" s="114">
        <f>0/200*C7</f>
        <v>0</v>
      </c>
      <c r="F7" s="113">
        <f>31.4/200*C7</f>
        <v>31.4</v>
      </c>
      <c r="G7" s="114">
        <f>128/200*C7</f>
        <v>128</v>
      </c>
      <c r="H7" s="3"/>
      <c r="I7" s="2"/>
      <c r="J7" s="1"/>
    </row>
    <row r="8" spans="1:10" x14ac:dyDescent="0.25">
      <c r="A8" s="143" t="s">
        <v>14</v>
      </c>
      <c r="B8" s="144"/>
      <c r="C8" s="79">
        <f>SUM(C2:C7)</f>
        <v>800</v>
      </c>
      <c r="D8" s="19">
        <f t="shared" ref="D8:G8" si="1">SUM(D2:D7)</f>
        <v>27.192318840579716</v>
      </c>
      <c r="E8" s="19">
        <f t="shared" si="1"/>
        <v>32.500797101449272</v>
      </c>
      <c r="F8" s="19">
        <f t="shared" si="1"/>
        <v>138.05130434782609</v>
      </c>
      <c r="G8" s="19">
        <f t="shared" si="1"/>
        <v>953.37449275362314</v>
      </c>
      <c r="H8" s="3"/>
      <c r="I8" s="2"/>
      <c r="J8" s="1"/>
    </row>
    <row r="9" spans="1:10" x14ac:dyDescent="0.25">
      <c r="A9" s="141"/>
      <c r="B9" s="142"/>
      <c r="C9" s="142"/>
      <c r="D9" s="142"/>
      <c r="E9" s="142"/>
      <c r="F9" s="142"/>
      <c r="G9" s="142"/>
      <c r="H9" s="3"/>
      <c r="I9" s="2"/>
      <c r="J9" s="1"/>
    </row>
  </sheetData>
  <mergeCells count="3">
    <mergeCell ref="A1:G1"/>
    <mergeCell ref="A8:B8"/>
    <mergeCell ref="A9:G9"/>
  </mergeCells>
  <pageMargins left="0.7" right="0.7" top="0.75" bottom="0.75" header="0.3" footer="0.3"/>
  <pageSetup paperSize="9" scale="92" orientation="landscape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view="pageBreakPreview" zoomScale="112" zoomScaleSheetLayoutView="112" workbookViewId="0">
      <selection activeCell="A9" sqref="A9"/>
    </sheetView>
  </sheetViews>
  <sheetFormatPr defaultRowHeight="15" x14ac:dyDescent="0.25"/>
  <cols>
    <col min="1" max="2" width="9.28515625" bestFit="1" customWidth="1"/>
    <col min="3" max="3" width="11" customWidth="1"/>
    <col min="4" max="4" width="11.85546875" customWidth="1"/>
  </cols>
  <sheetData>
    <row r="1" spans="1:4" s="47" customFormat="1" ht="40.5" customHeight="1" x14ac:dyDescent="0.25">
      <c r="A1" s="172" t="s">
        <v>47</v>
      </c>
      <c r="B1" s="172"/>
      <c r="C1" s="172"/>
      <c r="D1" s="172"/>
    </row>
    <row r="2" spans="1:4" ht="15.75" x14ac:dyDescent="0.25">
      <c r="A2" s="170" t="s">
        <v>6</v>
      </c>
      <c r="B2" s="170"/>
      <c r="C2" s="170"/>
      <c r="D2" s="171" t="s">
        <v>46</v>
      </c>
    </row>
    <row r="3" spans="1:4" ht="15.75" x14ac:dyDescent="0.25">
      <c r="A3" s="69" t="s">
        <v>3</v>
      </c>
      <c r="B3" s="69" t="s">
        <v>4</v>
      </c>
      <c r="C3" s="69" t="s">
        <v>5</v>
      </c>
      <c r="D3" s="171"/>
    </row>
    <row r="4" spans="1:4" ht="15.75" x14ac:dyDescent="0.25">
      <c r="A4" s="70">
        <f>('День 1'!D11+'День 2'!D9+'День 3'!D8+'День 4'!D12+'День 5'!D13+'День 6'!D8+'День 7'!D13+'День 8'!D7+'День 9'!D13+'День 10'!D9+'День 11'!D8+'День 12'!D8)/12</f>
        <v>31.447664742351051</v>
      </c>
      <c r="B4" s="70">
        <f>('День 1'!E11+'День 2'!E9+'День 3'!E8+'День 4'!E12+'День 5'!E13+'День 6'!E8+'День 7'!E13+'День 8'!E7+'День 9'!E13+'День 10'!E9+'День 11'!E8+'День 12'!E8)/12</f>
        <v>33.124210821256035</v>
      </c>
      <c r="C4" s="70">
        <f>('День 1'!F11+'День 2'!F9+'День 3'!F8+'День 4'!F12+'День 5'!F13+'День 6'!F8+'День 7'!F13+'День 8'!F7+'День 9'!F13+'День 10'!F9+'День 11'!F8+'День 12'!F8)/12</f>
        <v>136.47125513687598</v>
      </c>
      <c r="D4" s="70">
        <f>('День 1'!G11+'День 2'!G9+'День 3'!G8+'День 4'!G12+'День 5'!G13+'День 6'!G8+'День 7'!G13+'День 8'!G7+'День 9'!G13+'День 10'!G9+'День 11'!G8+'День 12'!G8)/12</f>
        <v>952.73418112845286</v>
      </c>
    </row>
    <row r="5" spans="1:4" ht="15.75" x14ac:dyDescent="0.25">
      <c r="A5" s="70">
        <f>A4/B4</f>
        <v>0.94938608234466582</v>
      </c>
      <c r="B5" s="70">
        <f>B4/A4</f>
        <v>1.0533122599926206</v>
      </c>
      <c r="C5" s="71">
        <v>3.9</v>
      </c>
      <c r="D5" s="71"/>
    </row>
  </sheetData>
  <mergeCells count="3">
    <mergeCell ref="A2:C2"/>
    <mergeCell ref="D2:D3"/>
    <mergeCell ref="A1:D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Лист1</vt:lpstr>
      <vt:lpstr>'День 1'!Область_печати</vt:lpstr>
      <vt:lpstr>'День 10'!Область_печати</vt:lpstr>
      <vt:lpstr>'День 11'!Область_печати</vt:lpstr>
      <vt:lpstr>'День 12'!Область_печати</vt:lpstr>
      <vt:lpstr>'День 2'!Область_печати</vt:lpstr>
      <vt:lpstr>'День 4'!Область_печати</vt:lpstr>
      <vt:lpstr>'День 5'!Область_печати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2023-09-12T05:23:00Z</dcterms:modified>
</cp:coreProperties>
</file>